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Projets en cours RENO\21R175_Etude CEE - DGEC\4. Livrables\Envoi du 31 août 2021\Tableurs\"/>
    </mc:Choice>
  </mc:AlternateContent>
  <xr:revisionPtr revIDLastSave="0" documentId="13_ncr:1_{46A3BF65-48D3-4C02-A33B-0FC5176D59D8}" xr6:coauthVersionLast="47" xr6:coauthVersionMax="47" xr10:uidLastSave="{00000000-0000-0000-0000-000000000000}"/>
  <bookViews>
    <workbookView xWindow="-120" yWindow="-120" windowWidth="29040" windowHeight="15840" firstSheet="2" activeTab="8" xr2:uid="{00000000-000D-0000-FFFF-FFFF00000000}"/>
  </bookViews>
  <sheets>
    <sheet name="Nombre de Upb_final (compartime" sheetId="15" state="hidden" r:id="rId1"/>
    <sheet name="Nombre de Upb_final (compar (2)" sheetId="16" state="hidden" r:id="rId2"/>
    <sheet name="U initial" sheetId="2" r:id="rId3"/>
    <sheet name="Ufinal" sheetId="3" state="hidden" r:id="rId4"/>
    <sheet name="poutre non isolée" sheetId="1" state="hidden" r:id="rId5"/>
    <sheet name="U Final" sheetId="10" r:id="rId6"/>
    <sheet name="Isolant fixé mécaniquement" sheetId="12" r:id="rId7"/>
    <sheet name="Isolant projeté" sheetId="11" r:id="rId8"/>
    <sheet name="Combinaison" sheetId="13" r:id="rId9"/>
    <sheet name="poutre isolée" sheetId="5" state="hidden" r:id="rId10"/>
    <sheet name="refend non isolé" sheetId="8" state="hidden" r:id="rId11"/>
    <sheet name="refend isolé" sheetId="9" state="hidden" r:id="rId12"/>
  </sheets>
  <definedNames>
    <definedName name="DonnéesExternes_2" localSheetId="0" hidden="1">'Nombre de Upb_final (compartime'!$A$1:$B$23</definedName>
    <definedName name="DonnéesExternes_3" localSheetId="1" hidden="1">'Nombre de Upb_final (compar (2)'!$A$1:$B$23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1" l="1"/>
  <c r="H16" i="11"/>
  <c r="H15" i="11"/>
  <c r="H17" i="12"/>
  <c r="H16" i="12"/>
  <c r="H15" i="12"/>
  <c r="H17" i="13"/>
  <c r="H16" i="13"/>
  <c r="H15" i="13"/>
  <c r="B142" i="2"/>
  <c r="F15" i="3" s="1"/>
  <c r="H15" i="3" s="1"/>
  <c r="B141" i="2"/>
  <c r="D2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B131" i="2"/>
  <c r="B129" i="2"/>
  <c r="B130" i="2"/>
  <c r="C2" i="10"/>
  <c r="D3" i="3"/>
  <c r="D5" i="3"/>
  <c r="D29" i="3"/>
  <c r="E18" i="3"/>
  <c r="D8" i="3"/>
  <c r="E8" i="3"/>
  <c r="D13" i="3"/>
  <c r="E13" i="3"/>
  <c r="D18" i="3"/>
  <c r="D23" i="3"/>
  <c r="E23" i="3"/>
  <c r="D11" i="3"/>
  <c r="E11" i="3"/>
  <c r="D16" i="3"/>
  <c r="E16" i="3"/>
  <c r="D21" i="3"/>
  <c r="E21" i="3"/>
  <c r="D26" i="3"/>
  <c r="E26" i="3"/>
  <c r="D10" i="3"/>
  <c r="E10" i="3"/>
  <c r="D15" i="3"/>
  <c r="E15" i="3"/>
  <c r="D20" i="3"/>
  <c r="E20" i="3"/>
  <c r="D25" i="3"/>
  <c r="E25" i="3"/>
  <c r="D9" i="3"/>
  <c r="E9" i="3"/>
  <c r="D14" i="3"/>
  <c r="E14" i="3"/>
  <c r="D19" i="3"/>
  <c r="E19" i="3"/>
  <c r="D24" i="3"/>
  <c r="E24" i="3"/>
  <c r="B82" i="2"/>
  <c r="B83" i="2" s="1"/>
  <c r="B140" i="2" s="1"/>
  <c r="E4" i="2"/>
  <c r="E5" i="2"/>
  <c r="D14" i="2"/>
  <c r="E14" i="2"/>
  <c r="D15" i="2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E6" i="2"/>
  <c r="D27" i="2" s="1"/>
  <c r="E27" i="2" s="1"/>
  <c r="D28" i="2"/>
  <c r="E28" i="2" s="1"/>
  <c r="E8" i="2"/>
  <c r="D29" i="2" s="1"/>
  <c r="E29" i="2" s="1"/>
  <c r="E10" i="2"/>
  <c r="E9" i="2"/>
  <c r="F23" i="3" l="1"/>
  <c r="H23" i="3" s="1"/>
  <c r="F6" i="3"/>
  <c r="H6" i="3" s="1"/>
  <c r="F10" i="3"/>
  <c r="H10" i="3" s="1"/>
  <c r="C7" i="11"/>
  <c r="C8" i="11" s="1"/>
  <c r="C9" i="11" s="1"/>
  <c r="F5" i="11" s="1"/>
  <c r="F6" i="11" s="1"/>
  <c r="F21" i="3"/>
  <c r="H21" i="3" s="1"/>
  <c r="F8" i="3"/>
  <c r="H8" i="3" s="1"/>
  <c r="F5" i="3"/>
  <c r="H5" i="3" s="1"/>
  <c r="F16" i="3"/>
  <c r="H16" i="3" s="1"/>
  <c r="C7" i="12"/>
  <c r="C8" i="12" s="1"/>
  <c r="D33" i="3"/>
  <c r="D34" i="3" s="1"/>
  <c r="C7" i="8"/>
  <c r="F14" i="3"/>
  <c r="H14" i="3" s="1"/>
  <c r="F20" i="3"/>
  <c r="H20" i="3" s="1"/>
  <c r="F18" i="3"/>
  <c r="H18" i="3" s="1"/>
  <c r="C7" i="13"/>
  <c r="F19" i="3"/>
  <c r="H19" i="3" s="1"/>
  <c r="C7" i="5"/>
  <c r="C7" i="9"/>
  <c r="F26" i="3"/>
  <c r="H26" i="3" s="1"/>
  <c r="F25" i="3"/>
  <c r="H25" i="3" s="1"/>
  <c r="F24" i="3"/>
  <c r="H24" i="3" s="1"/>
  <c r="F11" i="3"/>
  <c r="F13" i="3"/>
  <c r="H13" i="3" s="1"/>
  <c r="F3" i="3"/>
  <c r="H3" i="3" s="1"/>
  <c r="C7" i="1"/>
  <c r="F9" i="3"/>
  <c r="H9" i="3" s="1"/>
  <c r="F4" i="3"/>
  <c r="H4" i="3" s="1"/>
  <c r="D26" i="2"/>
  <c r="E26" i="2" s="1"/>
  <c r="D25" i="2"/>
  <c r="E25" i="2" s="1"/>
  <c r="L8" i="3"/>
  <c r="C8" i="1" s="1"/>
  <c r="C9" i="1" s="1"/>
  <c r="G5" i="1" s="1"/>
  <c r="G6" i="1" s="1"/>
  <c r="B36" i="2"/>
  <c r="B139" i="2" s="1"/>
  <c r="D30" i="2"/>
  <c r="E30" i="2" s="1"/>
  <c r="C8" i="13"/>
  <c r="C9" i="13" s="1"/>
  <c r="C9" i="12"/>
  <c r="L10" i="3"/>
  <c r="C8" i="8" s="1"/>
  <c r="C9" i="8" s="1"/>
  <c r="E15" i="2"/>
  <c r="H11" i="3"/>
  <c r="L11" i="3" l="1"/>
  <c r="C8" i="9" s="1"/>
  <c r="C9" i="9" s="1"/>
  <c r="G5" i="9" s="1"/>
  <c r="G6" i="9" s="1"/>
  <c r="H11" i="9" s="1"/>
  <c r="G5" i="11"/>
  <c r="G6" i="11" s="1"/>
  <c r="H12" i="11" s="1"/>
  <c r="L9" i="3"/>
  <c r="C8" i="5" s="1"/>
  <c r="C9" i="5" s="1"/>
  <c r="C36" i="2"/>
  <c r="E36" i="2"/>
  <c r="D36" i="2"/>
  <c r="F5" i="1"/>
  <c r="F6" i="1" s="1"/>
  <c r="G11" i="1" s="1"/>
  <c r="F5" i="12"/>
  <c r="F6" i="12" s="1"/>
  <c r="G5" i="12"/>
  <c r="G6" i="12" s="1"/>
  <c r="G5" i="13"/>
  <c r="G6" i="13" s="1"/>
  <c r="F5" i="13"/>
  <c r="F6" i="13" s="1"/>
  <c r="H11" i="11"/>
  <c r="H10" i="11"/>
  <c r="G5" i="5"/>
  <c r="G6" i="5" s="1"/>
  <c r="F5" i="5"/>
  <c r="F6" i="5" s="1"/>
  <c r="G12" i="11"/>
  <c r="G11" i="11"/>
  <c r="G10" i="11"/>
  <c r="D37" i="2"/>
  <c r="E37" i="2"/>
  <c r="B37" i="2"/>
  <c r="C37" i="2"/>
  <c r="F5" i="8"/>
  <c r="F6" i="8" s="1"/>
  <c r="G5" i="8"/>
  <c r="G6" i="8" s="1"/>
  <c r="H12" i="1"/>
  <c r="H11" i="1"/>
  <c r="H10" i="1"/>
  <c r="F5" i="9" l="1"/>
  <c r="F6" i="9" s="1"/>
  <c r="H10" i="9"/>
  <c r="G12" i="1"/>
  <c r="H12" i="9"/>
  <c r="G10" i="1"/>
  <c r="G15" i="1" s="1"/>
  <c r="H15" i="1" s="1"/>
  <c r="G16" i="11"/>
  <c r="G15" i="11"/>
  <c r="G16" i="1"/>
  <c r="H16" i="1" s="1"/>
  <c r="H12" i="5"/>
  <c r="H10" i="5"/>
  <c r="H11" i="5"/>
  <c r="G17" i="1"/>
  <c r="H17" i="1" s="1"/>
  <c r="G12" i="13"/>
  <c r="G10" i="13"/>
  <c r="G11" i="13"/>
  <c r="H12" i="8"/>
  <c r="H11" i="8"/>
  <c r="H10" i="8"/>
  <c r="H12" i="13"/>
  <c r="H10" i="13"/>
  <c r="H11" i="13"/>
  <c r="G11" i="8"/>
  <c r="G10" i="8"/>
  <c r="G12" i="8"/>
  <c r="G17" i="11"/>
  <c r="H12" i="12"/>
  <c r="H11" i="12"/>
  <c r="H10" i="12"/>
  <c r="G12" i="5"/>
  <c r="G10" i="5"/>
  <c r="G11" i="5"/>
  <c r="G11" i="12"/>
  <c r="G10" i="12"/>
  <c r="G12" i="12"/>
  <c r="G17" i="12" s="1"/>
  <c r="G11" i="9" l="1"/>
  <c r="G16" i="9" s="1"/>
  <c r="H16" i="9" s="1"/>
  <c r="G12" i="9"/>
  <c r="G17" i="9" s="1"/>
  <c r="H17" i="9" s="1"/>
  <c r="G10" i="9"/>
  <c r="G15" i="9" s="1"/>
  <c r="H15" i="9" s="1"/>
  <c r="G16" i="12"/>
  <c r="G15" i="8"/>
  <c r="H15" i="8" s="1"/>
  <c r="G15" i="5"/>
  <c r="H15" i="5" s="1"/>
  <c r="G16" i="8"/>
  <c r="H16" i="8" s="1"/>
  <c r="G17" i="5"/>
  <c r="H17" i="5" s="1"/>
  <c r="G17" i="13"/>
  <c r="G17" i="8"/>
  <c r="H17" i="8" s="1"/>
  <c r="G16" i="5"/>
  <c r="H16" i="5" s="1"/>
  <c r="G16" i="13"/>
  <c r="G15" i="13"/>
  <c r="G15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9111736-81E1-40C1-87AB-7BEC7F2A18ED}" keepAlive="1" name="Requête - Nombre de Upb_final (compartiments) par Upb_final (compartiments)_2019" description="Connexion à la requête « Nombre de Upb_final (compartiments) par Upb_final (compartiments)_2019 » dans le classeur." type="5" refreshedVersion="7" background="1" saveData="1">
    <dbPr connection="Provider=Microsoft.Mashup.OleDb.1;Data Source=$Workbook$;Location=&quot;Nombre de Upb_final (compartiments) par Upb_final (compartiments)_2019&quot;;Extended Properties=&quot;&quot;" command="SELECT * FROM [Nombre de Upb_final (compartiments) par Upb_final (compartiments)_2019]"/>
  </connection>
  <connection id="2" xr16:uid="{719EA346-5918-4539-AA56-C5EF5A462723}" keepAlive="1" name="Requête - Nombre de Upb_final (compartiments) par Upb_final (compartiments)_2020" description="Connexion à la requête « Nombre de Upb_final (compartiments) par Upb_final (compartiments)_2020 » dans le classeur." type="5" refreshedVersion="7" background="1" saveData="1">
    <dbPr connection="Provider=Microsoft.Mashup.OleDb.1;Data Source=$Workbook$;Location=&quot;Nombre de Upb_final (compartiments) par Upb_final (compartiments)_2020&quot;;Extended Properties=&quot;&quot;" command="SELECT * FROM [Nombre de Upb_final (compartiments) par Upb_final (compartiments)_2020]"/>
  </connection>
  <connection id="3" xr16:uid="{9CD2DC8E-8E6D-4712-A78B-141BA61F2244}" keepAlive="1" name="Requête - Nombre de Uph final (compartiments) par Uph final (compartiments)_2019" description="Connexion à la requête « Nombre de Uph final (compartiments) par Uph final (compartiments)_2019 » dans le classeur." type="5" refreshedVersion="0" background="1">
    <dbPr connection="Provider=Microsoft.Mashup.OleDb.1;Data Source=$Workbook$;Location=&quot;Nombre de Uph final (compartiments) par Uph final (compartiments)_2019&quot;;Extended Properties=&quot;&quot;" command="SELECT * FROM [Nombre de Uph final (compartiments) par Uph final (compartiments)_2019]"/>
  </connection>
</connections>
</file>

<file path=xl/sharedStrings.xml><?xml version="1.0" encoding="utf-8"?>
<sst xmlns="http://schemas.openxmlformats.org/spreadsheetml/2006/main" count="430" uniqueCount="156">
  <si>
    <t>Up initial</t>
  </si>
  <si>
    <t>Up final</t>
  </si>
  <si>
    <t>Delta Up</t>
  </si>
  <si>
    <t>W/m2.K</t>
  </si>
  <si>
    <t>Up final = 1/(1/Up initial +R)</t>
  </si>
  <si>
    <r>
      <t>D</t>
    </r>
    <r>
      <rPr>
        <sz val="11"/>
        <color theme="1"/>
        <rFont val="Times New Roman"/>
        <family val="1"/>
      </rPr>
      <t>Up = Up final – Upinit</t>
    </r>
  </si>
  <si>
    <r>
      <t xml:space="preserve">Gain =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Times New Roman"/>
        <family val="1"/>
      </rPr>
      <t xml:space="preserve">Up x DJUmoyen x 24h x 0,7 / </t>
    </r>
    <r>
      <rPr>
        <sz val="11"/>
        <color theme="1"/>
        <rFont val="Symbol"/>
        <family val="1"/>
        <charset val="2"/>
      </rPr>
      <t>h</t>
    </r>
  </si>
  <si>
    <t>DJU moyen</t>
  </si>
  <si>
    <t>K</t>
  </si>
  <si>
    <t>Electrique</t>
  </si>
  <si>
    <t>Combustible</t>
  </si>
  <si>
    <t>Wh/m2</t>
  </si>
  <si>
    <t>kWh/m2</t>
  </si>
  <si>
    <t>Montant CEE</t>
  </si>
  <si>
    <t>Durée de vie</t>
  </si>
  <si>
    <t>ans</t>
  </si>
  <si>
    <t>Durée de vie actualisée</t>
  </si>
  <si>
    <t>H1</t>
  </si>
  <si>
    <t>H2</t>
  </si>
  <si>
    <t>H3</t>
  </si>
  <si>
    <t>Données</t>
  </si>
  <si>
    <t>Méthode de calcul</t>
  </si>
  <si>
    <t>Gains</t>
  </si>
  <si>
    <t>Rendement elec</t>
  </si>
  <si>
    <t>Rendement comb</t>
  </si>
  <si>
    <t>Fusion des énergies de chauffage</t>
  </si>
  <si>
    <t>Période constructive</t>
  </si>
  <si>
    <t>Répartition en nombre de logement (%)</t>
  </si>
  <si>
    <t>MI1-petite maison rurale</t>
  </si>
  <si>
    <t>&lt;1915</t>
  </si>
  <si>
    <t>MI2-grande maison rurale</t>
  </si>
  <si>
    <t xml:space="preserve">MI3-ferme </t>
  </si>
  <si>
    <t>MI4-maison de bourg mitoyenne</t>
  </si>
  <si>
    <t>MI5</t>
  </si>
  <si>
    <t>1915-1945</t>
  </si>
  <si>
    <t>MI6-grande maison périurbaine</t>
  </si>
  <si>
    <t>MI7-maison mitoyenne</t>
  </si>
  <si>
    <t>MI8-maison périurbaine indépendante</t>
  </si>
  <si>
    <t>1946-1968</t>
  </si>
  <si>
    <t>MI9-maison périurbaine mitoyenne</t>
  </si>
  <si>
    <t>MI10-maison périurbaine indépendante</t>
  </si>
  <si>
    <t>1969-1974</t>
  </si>
  <si>
    <t>MI11-maison périurbaine indépendante</t>
  </si>
  <si>
    <t>MI12-maison périurbaine indépendante</t>
  </si>
  <si>
    <t>1975-1981</t>
  </si>
  <si>
    <t>maison périurbaine mitoyenne</t>
  </si>
  <si>
    <t>MI14-pavillon</t>
  </si>
  <si>
    <t>1982-1989</t>
  </si>
  <si>
    <t>MI15-Pavillon</t>
  </si>
  <si>
    <t>1990-2000</t>
  </si>
  <si>
    <t>MI16-pavillon</t>
  </si>
  <si>
    <t>2001-2005</t>
  </si>
  <si>
    <t>MI17-pavillon</t>
  </si>
  <si>
    <t>&gt;2005</t>
  </si>
  <si>
    <t>U_init en fonction de la période de construction et de la ZC (DPE) en W/m².K</t>
  </si>
  <si>
    <t xml:space="preserve">H1 </t>
  </si>
  <si>
    <t>moyenne pondérée par zone climatique</t>
  </si>
  <si>
    <t>répartition par zone climatique (données CEREN)</t>
  </si>
  <si>
    <t>&lt;74</t>
  </si>
  <si>
    <t>75-77</t>
  </si>
  <si>
    <t>78-82</t>
  </si>
  <si>
    <t>83-88</t>
  </si>
  <si>
    <t>89-00</t>
  </si>
  <si>
    <t>01--05</t>
  </si>
  <si>
    <t>06--12</t>
  </si>
  <si>
    <t>&gt;13</t>
  </si>
  <si>
    <t>Uexistant en  W/(m².K)</t>
  </si>
  <si>
    <t>les 50% du parc rénové avant 75 a un U=1,5W/m2.K</t>
  </si>
  <si>
    <t>U existant  en considérant 50 % du parc av. 1975 déjà partiellement isolé en W/(m².K)</t>
  </si>
  <si>
    <t>Situation de référence en fonction de la part de parc considéré et de la prise en considération d'une isolation progressive</t>
  </si>
  <si>
    <t>Part du parc à prendre en compte</t>
  </si>
  <si>
    <t>Seulement av. 1975</t>
  </si>
  <si>
    <t>Seulement av. 1990</t>
  </si>
  <si>
    <t>Seulement av. 2000</t>
  </si>
  <si>
    <t>Seulement av. 2005</t>
  </si>
  <si>
    <t>Sans considérer d'isolation progressive</t>
  </si>
  <si>
    <t>En considérant une isolation progressive</t>
  </si>
  <si>
    <t>U_final (W/m².K)</t>
  </si>
  <si>
    <t>R</t>
  </si>
  <si>
    <t>Données issues de l'étude sur la rénovation basse consommation des maisons individuelles</t>
  </si>
  <si>
    <t xml:space="preserve">https://www.effinergie.org/web/images/attach/base_doc/2913/20210429syntheseetude-renovation.pdf </t>
  </si>
  <si>
    <t>Résistance thermique moyenne avant travaux en m².K/W</t>
  </si>
  <si>
    <t>U correspondant en W/m².K</t>
  </si>
  <si>
    <t>4- Synthèse</t>
  </si>
  <si>
    <t>Méthode d'évaluation</t>
  </si>
  <si>
    <t>U existant en W/m².K</t>
  </si>
  <si>
    <t>PROFEEL</t>
  </si>
  <si>
    <t>Observatoire BBC</t>
  </si>
  <si>
    <t>Valeur retenue</t>
  </si>
  <si>
    <t>m².K/W</t>
  </si>
  <si>
    <t>Résistance thermique mise en œuvre pour les planchers bas: 3 m2k/W</t>
  </si>
  <si>
    <t>R final</t>
  </si>
  <si>
    <t>surface plancher supposée (m2)</t>
  </si>
  <si>
    <t>U initial</t>
  </si>
  <si>
    <t>Planchers bas isolés en sous face fixés mécaniquement par des fixations traversantes</t>
  </si>
  <si>
    <t>diff u initial et u final</t>
  </si>
  <si>
    <t>Delta U tel que calculé actuellement</t>
  </si>
  <si>
    <t>plancher bas isolé entre solives avec entraxe de 400mm</t>
  </si>
  <si>
    <t>U final tel que calculé actuellement</t>
  </si>
  <si>
    <t>Planchers bas isolés en sous face fixés mécaniquement par des fixations traversantes et interrompu par une poutre non isolée</t>
  </si>
  <si>
    <t>Planchers bas isolés en sous face fixés mécaniquement par des fixations traversantes et interrompu par une poutre isolée sur trois faces</t>
  </si>
  <si>
    <t>Psi poutre isolée</t>
  </si>
  <si>
    <t xml:space="preserve">Psi poutre non isolée </t>
  </si>
  <si>
    <t>W/(m.K)</t>
  </si>
  <si>
    <t>ponts thermiques de liaison</t>
  </si>
  <si>
    <t>refends non traversants</t>
  </si>
  <si>
    <t>Planchers bas isolés en sous face fixés mécaniquement par des fixations traversantes et interrompu par un refend non isolé</t>
  </si>
  <si>
    <t>Planchers bas isolés en sous face fixés mécaniquement par des fixations traversantes et interrompu par un refend isolé</t>
  </si>
  <si>
    <t>Psi refend non isolé</t>
  </si>
  <si>
    <t>Psi refend isolé</t>
  </si>
  <si>
    <t>poutres</t>
  </si>
  <si>
    <t>ponts thermiques linéaires</t>
  </si>
  <si>
    <t>l</t>
  </si>
  <si>
    <t>L</t>
  </si>
  <si>
    <t>Plancher bas avec isolant projeté</t>
  </si>
  <si>
    <t>isolant projeté</t>
  </si>
  <si>
    <t>isolation fixée mécaniquement</t>
  </si>
  <si>
    <t>isolation entre solives</t>
  </si>
  <si>
    <t>plancher bas isolé entre solives avec entraxe de 400mm + fixations mécaniques</t>
  </si>
  <si>
    <t>isolant fixée mécaniquement plus entre solives</t>
  </si>
  <si>
    <t>poutre non isolée</t>
  </si>
  <si>
    <t>poutre isolée</t>
  </si>
  <si>
    <t>refend isolé</t>
  </si>
  <si>
    <t>refend non isolé</t>
  </si>
  <si>
    <r>
      <t xml:space="preserve">Psi </t>
    </r>
    <r>
      <rPr>
        <i/>
        <sz val="11"/>
        <color theme="1"/>
        <rFont val="Calibri"/>
        <family val="2"/>
      </rPr>
      <t>(RAGE - Recommandations professionnelles 2014 "isolation en sous face des planchers bas")</t>
    </r>
  </si>
  <si>
    <r>
      <t>Δ</t>
    </r>
    <r>
      <rPr>
        <sz val="7.7"/>
        <color theme="1"/>
        <rFont val="Calibri"/>
        <family val="2"/>
      </rPr>
      <t>U</t>
    </r>
    <r>
      <rPr>
        <sz val="11"/>
        <color theme="1"/>
        <rFont val="Calibri"/>
        <family val="2"/>
      </rPr>
      <t xml:space="preserve"> (W/m².K) </t>
    </r>
    <r>
      <rPr>
        <i/>
        <sz val="11"/>
        <color theme="1"/>
        <rFont val="Calibri"/>
        <family val="2"/>
      </rPr>
      <t>(RT: valeurs et coefficients pour l'application des règles Th-Bat)</t>
    </r>
  </si>
  <si>
    <r>
      <t xml:space="preserve">ΔU (W/m².K) </t>
    </r>
    <r>
      <rPr>
        <i/>
        <sz val="10"/>
        <color theme="1"/>
        <rFont val="Arial"/>
        <family val="2"/>
      </rPr>
      <t>(RT: valeurs et coefficients pour l'application des règles Th-Bat)</t>
    </r>
  </si>
  <si>
    <t>Resistance thermique installée</t>
  </si>
  <si>
    <t>Données issues de l'observatoire DPE - années 2019 - 2020</t>
  </si>
  <si>
    <t>Sélection des maisons individuelles et des logements collectifs</t>
  </si>
  <si>
    <t>Moyenne de Uph</t>
  </si>
  <si>
    <t>2019</t>
  </si>
  <si>
    <t>2020</t>
  </si>
  <si>
    <t>0. Av. 1948</t>
  </si>
  <si>
    <t>1. 1948 - 1974</t>
  </si>
  <si>
    <t>2. 1975 - 1989</t>
  </si>
  <si>
    <t>3. 1990 - 1999</t>
  </si>
  <si>
    <t>4. Autre</t>
  </si>
  <si>
    <t>Nombre de valeur</t>
  </si>
  <si>
    <t>Valeur</t>
  </si>
  <si>
    <t>Nombre</t>
  </si>
  <si>
    <t>1</t>
  </si>
  <si>
    <t>2</t>
  </si>
  <si>
    <t>Méthode</t>
  </si>
  <si>
    <t>Uph</t>
  </si>
  <si>
    <t>Moyenne av. 1975</t>
  </si>
  <si>
    <t>Moyenne av. 2000</t>
  </si>
  <si>
    <t>Moyenne si non ou faiblement isolé toute période (&gt; 0,5W/m².K)</t>
  </si>
  <si>
    <t>Valeur analysée : min(Upb; Upb0)</t>
  </si>
  <si>
    <t>Nombre de Upb_final (compartiments)</t>
  </si>
  <si>
    <t>Upb_final (compartiments)</t>
  </si>
  <si>
    <t>Colonne1</t>
  </si>
  <si>
    <t>Observatire DPE</t>
  </si>
  <si>
    <t>Colonne2</t>
  </si>
  <si>
    <t xml:space="preserve">2- Analyse de l'Observatoire BBC Rénovation </t>
  </si>
  <si>
    <t>3- Observatoire DPE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</si>
</sst>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0.0"/>
    <numFmt numFmtId="166" formatCode="_-* #,##0.00\ _€_-;\-* #,##0.00\ _€_-;_-* &quot;-&quot;??\ _€_-;_-@_-"/>
    <numFmt numFmtId="167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7.7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37">
    <xf numFmtId="0" fontId="0" fillId="0" borderId="0" xfId="0"/>
    <xf numFmtId="9" fontId="0" fillId="0" borderId="0" xfId="1" applyFont="1"/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4" fillId="0" borderId="0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2" xfId="0" applyBorder="1"/>
    <xf numFmtId="164" fontId="0" fillId="0" borderId="0" xfId="0" applyNumberFormat="1" applyBorder="1"/>
    <xf numFmtId="0" fontId="0" fillId="0" borderId="0" xfId="0" applyBorder="1"/>
    <xf numFmtId="0" fontId="0" fillId="0" borderId="7" xfId="0" applyBorder="1"/>
    <xf numFmtId="9" fontId="0" fillId="0" borderId="0" xfId="0" applyNumberFormat="1" applyBorder="1"/>
    <xf numFmtId="0" fontId="2" fillId="0" borderId="0" xfId="0" applyFont="1" applyBorder="1"/>
    <xf numFmtId="165" fontId="0" fillId="0" borderId="4" xfId="0" applyNumberFormat="1" applyBorder="1"/>
    <xf numFmtId="165" fontId="0" fillId="0" borderId="0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8" xfId="0" applyNumberFormat="1" applyBorder="1"/>
    <xf numFmtId="0" fontId="0" fillId="0" borderId="0" xfId="0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11" fillId="0" borderId="0" xfId="0" applyFont="1"/>
    <xf numFmtId="0" fontId="10" fillId="0" borderId="0" xfId="3"/>
    <xf numFmtId="2" fontId="0" fillId="0" borderId="9" xfId="0" applyNumberFormat="1" applyBorder="1" applyAlignment="1">
      <alignment vertical="center" wrapText="1"/>
    </xf>
    <xf numFmtId="2" fontId="0" fillId="0" borderId="9" xfId="0" applyNumberFormat="1" applyBorder="1" applyAlignment="1">
      <alignment vertical="center"/>
    </xf>
    <xf numFmtId="43" fontId="5" fillId="0" borderId="9" xfId="2" applyFont="1" applyBorder="1" applyAlignment="1">
      <alignment horizontal="center" vertical="center" wrapText="1"/>
    </xf>
    <xf numFmtId="43" fontId="0" fillId="0" borderId="9" xfId="2" applyFont="1" applyBorder="1" applyAlignment="1">
      <alignment wrapText="1"/>
    </xf>
    <xf numFmtId="43" fontId="0" fillId="0" borderId="2" xfId="0" applyNumberFormat="1" applyBorder="1"/>
    <xf numFmtId="0" fontId="0" fillId="0" borderId="0" xfId="0" applyAlignment="1">
      <alignment horizontal="right" indent="1"/>
    </xf>
    <xf numFmtId="165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1" xfId="0" applyBorder="1"/>
    <xf numFmtId="166" fontId="0" fillId="0" borderId="9" xfId="0" applyNumberFormat="1" applyFill="1" applyBorder="1" applyAlignment="1">
      <alignment horizontal="center" vertical="center"/>
    </xf>
    <xf numFmtId="0" fontId="0" fillId="0" borderId="9" xfId="0" applyFill="1" applyBorder="1"/>
    <xf numFmtId="166" fontId="0" fillId="0" borderId="9" xfId="0" applyNumberFormat="1" applyFill="1" applyBorder="1"/>
    <xf numFmtId="2" fontId="0" fillId="0" borderId="9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3" xfId="0" applyBorder="1"/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center"/>
    </xf>
    <xf numFmtId="2" fontId="0" fillId="0" borderId="0" xfId="0" applyNumberFormat="1"/>
    <xf numFmtId="166" fontId="0" fillId="0" borderId="0" xfId="0" applyNumberFormat="1" applyAlignment="1"/>
    <xf numFmtId="0" fontId="0" fillId="0" borderId="12" xfId="0" applyBorder="1"/>
    <xf numFmtId="0" fontId="0" fillId="0" borderId="9" xfId="0" applyBorder="1"/>
    <xf numFmtId="0" fontId="0" fillId="0" borderId="18" xfId="0" applyBorder="1"/>
    <xf numFmtId="166" fontId="0" fillId="0" borderId="19" xfId="0" applyNumberFormat="1" applyFill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166" fontId="0" fillId="0" borderId="22" xfId="0" applyNumberFormat="1" applyBorder="1"/>
    <xf numFmtId="166" fontId="0" fillId="0" borderId="0" xfId="0" applyNumberFormat="1" applyBorder="1"/>
    <xf numFmtId="0" fontId="0" fillId="0" borderId="0" xfId="0" applyBorder="1" applyAlignment="1">
      <alignment horizontal="right" indent="1"/>
    </xf>
    <xf numFmtId="166" fontId="0" fillId="0" borderId="0" xfId="0" applyNumberFormat="1" applyBorder="1" applyAlignment="1">
      <alignment horizontal="right"/>
    </xf>
    <xf numFmtId="166" fontId="0" fillId="0" borderId="24" xfId="0" applyNumberFormat="1" applyFill="1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0" fillId="0" borderId="26" xfId="0" applyBorder="1" applyAlignment="1">
      <alignment horizontal="right" indent="1"/>
    </xf>
    <xf numFmtId="0" fontId="0" fillId="0" borderId="17" xfId="0" applyBorder="1" applyAlignment="1">
      <alignment wrapText="1"/>
    </xf>
    <xf numFmtId="0" fontId="0" fillId="0" borderId="19" xfId="0" applyBorder="1"/>
    <xf numFmtId="0" fontId="0" fillId="0" borderId="23" xfId="0" applyBorder="1" applyAlignment="1">
      <alignment wrapText="1"/>
    </xf>
    <xf numFmtId="0" fontId="0" fillId="0" borderId="24" xfId="0" applyBorder="1"/>
    <xf numFmtId="0" fontId="0" fillId="0" borderId="20" xfId="0" applyBorder="1" applyAlignment="1">
      <alignment wrapText="1"/>
    </xf>
    <xf numFmtId="0" fontId="0" fillId="0" borderId="22" xfId="0" applyBorder="1"/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2" xfId="0" applyBorder="1" applyAlignment="1">
      <alignment horizontal="left" vertical="center" wrapText="1"/>
    </xf>
    <xf numFmtId="0" fontId="0" fillId="3" borderId="23" xfId="0" applyFill="1" applyBorder="1"/>
    <xf numFmtId="166" fontId="0" fillId="3" borderId="24" xfId="0" applyNumberFormat="1" applyFill="1" applyBorder="1" applyAlignment="1">
      <alignment horizontal="center" vertical="center"/>
    </xf>
    <xf numFmtId="2" fontId="0" fillId="0" borderId="15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/>
    <xf numFmtId="2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164" fontId="0" fillId="0" borderId="29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6" fontId="0" fillId="0" borderId="28" xfId="0" applyNumberFormat="1" applyFill="1" applyBorder="1" applyAlignment="1">
      <alignment horizontal="center" vertical="center"/>
    </xf>
    <xf numFmtId="166" fontId="0" fillId="0" borderId="29" xfId="0" applyNumberFormat="1" applyFill="1" applyBorder="1"/>
    <xf numFmtId="164" fontId="0" fillId="0" borderId="15" xfId="0" applyNumberForma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/>
    </xf>
    <xf numFmtId="2" fontId="5" fillId="0" borderId="1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166" fontId="12" fillId="0" borderId="3" xfId="0" applyNumberFormat="1" applyFont="1" applyBorder="1"/>
    <xf numFmtId="0" fontId="12" fillId="0" borderId="4" xfId="0" applyFont="1" applyBorder="1" applyAlignment="1">
      <alignment wrapText="1"/>
    </xf>
    <xf numFmtId="166" fontId="12" fillId="0" borderId="5" xfId="0" applyNumberFormat="1" applyFont="1" applyBorder="1"/>
    <xf numFmtId="0" fontId="12" fillId="0" borderId="6" xfId="0" applyFont="1" applyBorder="1" applyAlignment="1">
      <alignment wrapText="1"/>
    </xf>
    <xf numFmtId="166" fontId="12" fillId="0" borderId="8" xfId="0" applyNumberFormat="1" applyFont="1" applyBorder="1"/>
    <xf numFmtId="0" fontId="5" fillId="4" borderId="3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14" fillId="0" borderId="13" xfId="0" applyFont="1" applyBorder="1"/>
    <xf numFmtId="0" fontId="14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0" xfId="0" applyFont="1"/>
    <xf numFmtId="0" fontId="14" fillId="0" borderId="9" xfId="0" applyFont="1" applyFill="1" applyBorder="1" applyAlignment="1">
      <alignment horizontal="center" vertical="center" wrapText="1"/>
    </xf>
    <xf numFmtId="2" fontId="14" fillId="0" borderId="9" xfId="0" applyNumberFormat="1" applyFont="1" applyFill="1" applyBorder="1" applyAlignment="1">
      <alignment horizontal="center" vertical="center"/>
    </xf>
    <xf numFmtId="2" fontId="14" fillId="0" borderId="15" xfId="0" applyNumberFormat="1" applyFont="1" applyFill="1" applyBorder="1" applyAlignment="1">
      <alignment horizontal="center" vertical="center"/>
    </xf>
    <xf numFmtId="167" fontId="0" fillId="0" borderId="0" xfId="2" applyNumberFormat="1" applyFont="1" applyFill="1" applyBorder="1"/>
    <xf numFmtId="167" fontId="0" fillId="0" borderId="0" xfId="2" applyNumberFormat="1" applyFont="1"/>
    <xf numFmtId="43" fontId="0" fillId="0" borderId="9" xfId="2" applyFont="1" applyBorder="1"/>
    <xf numFmtId="0" fontId="0" fillId="0" borderId="0" xfId="0" applyNumberFormat="1"/>
    <xf numFmtId="0" fontId="0" fillId="5" borderId="9" xfId="0" applyFill="1" applyBorder="1" applyAlignment="1">
      <alignment wrapText="1"/>
    </xf>
    <xf numFmtId="0" fontId="6" fillId="5" borderId="9" xfId="0" applyFont="1" applyFill="1" applyBorder="1" applyAlignment="1">
      <alignment horizontal="center" vertical="center" wrapText="1"/>
    </xf>
    <xf numFmtId="2" fontId="0" fillId="5" borderId="9" xfId="0" applyNumberFormat="1" applyFill="1" applyBorder="1" applyAlignment="1">
      <alignment horizontal="center" vertical="center" wrapText="1"/>
    </xf>
    <xf numFmtId="0" fontId="0" fillId="5" borderId="9" xfId="0" applyFill="1" applyBorder="1"/>
    <xf numFmtId="0" fontId="0" fillId="5" borderId="9" xfId="0" applyFill="1" applyBorder="1" applyAlignment="1">
      <alignment horizontal="center" vertical="center" wrapText="1"/>
    </xf>
    <xf numFmtId="2" fontId="0" fillId="5" borderId="9" xfId="0" applyNumberFormat="1" applyFill="1" applyBorder="1" applyAlignment="1">
      <alignment wrapText="1"/>
    </xf>
    <xf numFmtId="43" fontId="0" fillId="5" borderId="9" xfId="2" applyFont="1" applyFill="1" applyBorder="1" applyAlignment="1">
      <alignment wrapText="1"/>
    </xf>
    <xf numFmtId="2" fontId="0" fillId="5" borderId="9" xfId="0" applyNumberFormat="1" applyFill="1" applyBorder="1"/>
    <xf numFmtId="16" fontId="0" fillId="5" borderId="9" xfId="0" applyNumberFormat="1" applyFill="1" applyBorder="1"/>
    <xf numFmtId="0" fontId="7" fillId="0" borderId="0" xfId="0" applyFont="1" applyAlignment="1">
      <alignment horizontal="left" wrapText="1"/>
    </xf>
    <xf numFmtId="0" fontId="0" fillId="5" borderId="9" xfId="0" applyFill="1" applyBorder="1" applyAlignment="1">
      <alignment horizont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7" xfId="0" applyFill="1" applyBorder="1" applyAlignment="1">
      <alignment horizontal="center"/>
    </xf>
    <xf numFmtId="0" fontId="14" fillId="0" borderId="2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</cellXfs>
  <cellStyles count="4">
    <cellStyle name="Lien hypertexte" xfId="3" builtinId="8"/>
    <cellStyle name="Milliers" xfId="2" builtinId="3"/>
    <cellStyle name="Normal" xfId="0" builtinId="0"/>
    <cellStyle name="Pourcentage" xfId="1" builtinId="5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7" formatCode="_-* #,##0_-;\-* #,##0_-;_-* &quot;-&quot;??_-;_-@_-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-* #,##0_-;\-* #,##0_-;_-* &quot;-&quot;??_-;_-@_-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Nombre de valeurs dans la base DPE pour chaque Upb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'U initial'!$B$104</c:f>
              <c:strCache>
                <c:ptCount val="1"/>
                <c:pt idx="0">
                  <c:v>Nombre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'U initial'!$A$105:$A$126</c:f>
              <c:numCache>
                <c:formatCode>General</c:formatCode>
                <c:ptCount val="22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0.55000000000000004</c:v>
                </c:pt>
                <c:pt idx="8">
                  <c:v>0.6</c:v>
                </c:pt>
                <c:pt idx="9">
                  <c:v>0.65</c:v>
                </c:pt>
                <c:pt idx="10">
                  <c:v>0.7</c:v>
                </c:pt>
                <c:pt idx="11">
                  <c:v>0.75</c:v>
                </c:pt>
                <c:pt idx="12">
                  <c:v>0.8</c:v>
                </c:pt>
                <c:pt idx="13">
                  <c:v>0.85</c:v>
                </c:pt>
                <c:pt idx="14">
                  <c:v>0.9</c:v>
                </c:pt>
                <c:pt idx="15">
                  <c:v>0.95</c:v>
                </c:pt>
                <c:pt idx="16">
                  <c:v>1</c:v>
                </c:pt>
                <c:pt idx="17">
                  <c:v>1.1000000000000001</c:v>
                </c:pt>
                <c:pt idx="18">
                  <c:v>1.45</c:v>
                </c:pt>
                <c:pt idx="19">
                  <c:v>1.6</c:v>
                </c:pt>
                <c:pt idx="20">
                  <c:v>1.75</c:v>
                </c:pt>
                <c:pt idx="21">
                  <c:v>2</c:v>
                </c:pt>
              </c:numCache>
            </c:numRef>
          </c:cat>
          <c:val>
            <c:numRef>
              <c:f>'U initial'!$B$105:$B$126</c:f>
              <c:numCache>
                <c:formatCode>General</c:formatCode>
                <c:ptCount val="22"/>
                <c:pt idx="0">
                  <c:v>6922</c:v>
                </c:pt>
                <c:pt idx="1">
                  <c:v>72463</c:v>
                </c:pt>
                <c:pt idx="2">
                  <c:v>1613886</c:v>
                </c:pt>
                <c:pt idx="3">
                  <c:v>825768</c:v>
                </c:pt>
                <c:pt idx="4">
                  <c:v>2654262</c:v>
                </c:pt>
                <c:pt idx="5">
                  <c:v>427874</c:v>
                </c:pt>
                <c:pt idx="6">
                  <c:v>229487</c:v>
                </c:pt>
                <c:pt idx="7">
                  <c:v>912659</c:v>
                </c:pt>
                <c:pt idx="8">
                  <c:v>306730</c:v>
                </c:pt>
                <c:pt idx="9">
                  <c:v>67755</c:v>
                </c:pt>
                <c:pt idx="10">
                  <c:v>83405</c:v>
                </c:pt>
                <c:pt idx="11">
                  <c:v>56586</c:v>
                </c:pt>
                <c:pt idx="12">
                  <c:v>212225</c:v>
                </c:pt>
                <c:pt idx="13">
                  <c:v>418145</c:v>
                </c:pt>
                <c:pt idx="14">
                  <c:v>215318</c:v>
                </c:pt>
                <c:pt idx="15">
                  <c:v>156102</c:v>
                </c:pt>
                <c:pt idx="16">
                  <c:v>69081</c:v>
                </c:pt>
                <c:pt idx="17">
                  <c:v>32392</c:v>
                </c:pt>
                <c:pt idx="18">
                  <c:v>79614</c:v>
                </c:pt>
                <c:pt idx="19">
                  <c:v>130617</c:v>
                </c:pt>
                <c:pt idx="20">
                  <c:v>6469</c:v>
                </c:pt>
                <c:pt idx="21">
                  <c:v>3245649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7-45BC-9B6D-3B56FBF92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8479039"/>
        <c:axId val="1338481951"/>
      </c:barChart>
      <c:catAx>
        <c:axId val="1338479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8481951"/>
        <c:crosses val="autoZero"/>
        <c:auto val="1"/>
        <c:lblAlgn val="ctr"/>
        <c:lblOffset val="100"/>
        <c:noMultiLvlLbl val="0"/>
      </c:catAx>
      <c:valAx>
        <c:axId val="1338481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8479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42</xdr:row>
      <xdr:rowOff>142875</xdr:rowOff>
    </xdr:from>
    <xdr:to>
      <xdr:col>3</xdr:col>
      <xdr:colOff>845344</xdr:colOff>
      <xdr:row>68</xdr:row>
      <xdr:rowOff>11844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2E1B734-39A0-43E8-AFB4-E6534292F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60844"/>
          <a:ext cx="6084094" cy="4821969"/>
        </a:xfrm>
        <a:prstGeom prst="rect">
          <a:avLst/>
        </a:prstGeom>
      </xdr:spPr>
    </xdr:pic>
    <xdr:clientData/>
  </xdr:twoCellAnchor>
  <xdr:twoCellAnchor>
    <xdr:from>
      <xdr:col>2</xdr:col>
      <xdr:colOff>756046</xdr:colOff>
      <xdr:row>107</xdr:row>
      <xdr:rowOff>86914</xdr:rowOff>
    </xdr:from>
    <xdr:to>
      <xdr:col>4</xdr:col>
      <xdr:colOff>2577702</xdr:colOff>
      <xdr:row>121</xdr:row>
      <xdr:rowOff>163114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ACCE9AD-4ECF-49AE-87C9-1EA783F014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2889251</xdr:colOff>
      <xdr:row>33</xdr:row>
      <xdr:rowOff>190500</xdr:rowOff>
    </xdr:from>
    <xdr:to>
      <xdr:col>8</xdr:col>
      <xdr:colOff>672004</xdr:colOff>
      <xdr:row>68</xdr:row>
      <xdr:rowOff>142874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9994C33-948C-4FDE-9DA5-3A594219B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1" y="18557875"/>
          <a:ext cx="8847628" cy="6889749"/>
        </a:xfrm>
        <a:prstGeom prst="rect">
          <a:avLst/>
        </a:prstGeom>
      </xdr:spPr>
    </xdr:pic>
    <xdr:clientData/>
  </xdr:twoCellAnchor>
  <xdr:twoCellAnchor editAs="oneCell">
    <xdr:from>
      <xdr:col>8</xdr:col>
      <xdr:colOff>434974</xdr:colOff>
      <xdr:row>28</xdr:row>
      <xdr:rowOff>15875</xdr:rowOff>
    </xdr:from>
    <xdr:to>
      <xdr:col>18</xdr:col>
      <xdr:colOff>519135</xdr:colOff>
      <xdr:row>48</xdr:row>
      <xdr:rowOff>3175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8F2A697-793B-4D87-8BD8-4ABCCADE6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8349" y="16144875"/>
          <a:ext cx="8720161" cy="535305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2" xr16:uid="{7870E4EA-C875-4ECA-968B-DFE77A48BAF1}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Nombre de Upb_final (compartiments)" tableColumnId="1"/>
      <queryTableField id="2" name="Upb_final (compartiments)" tableColumnId="2"/>
      <queryTableField id="3" dataBound="0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3" connectionId="1" xr16:uid="{28977354-98D2-4EDF-AFDF-CFA707B6B7FD}" autoFormatId="16" applyNumberFormats="0" applyBorderFormats="0" applyFontFormats="0" applyPatternFormats="0" applyAlignmentFormats="0" applyWidthHeightFormats="0">
  <queryTableRefresh nextId="5" unboundColumnsRight="2">
    <queryTableFields count="4">
      <queryTableField id="1" name="Upb_final (compartiments)" tableColumnId="1"/>
      <queryTableField id="2" name="Nombre de Upb_final (compartiments)" tableColumnId="2"/>
      <queryTableField id="3" dataBound="0" tableColumnId="3"/>
      <queryTableField id="4" dataBound="0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D56DDD5-9425-4602-B2A1-0AF26F18B733}" name="Nombre_de_Upb_final__compartiments__par_Upb_final__compartiments__2020" displayName="Nombre_de_Upb_final__compartiments__par_Upb_final__compartiments__2020" ref="A1:C23" tableType="queryTable" totalsRowShown="0">
  <autoFilter ref="A1:C23" xr:uid="{ED56DDD5-9425-4602-B2A1-0AF26F18B733}"/>
  <tableColumns count="3">
    <tableColumn id="1" xr3:uid="{D0211202-7639-44C4-9705-9B9CFF693245}" uniqueName="1" name="Nombre de Upb_final (compartiments)" queryTableFieldId="1"/>
    <tableColumn id="2" xr3:uid="{54355F51-B470-4F10-84A5-1359B6AC1C4C}" uniqueName="2" name="Upb_final (compartiments)" queryTableFieldId="2" dataDxfId="15"/>
    <tableColumn id="3" xr3:uid="{AA7C3788-1047-4D9F-82EE-69742DC400F3}" uniqueName="3" name="Colonne1" queryTableFieldId="3" dataDxfId="1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4EA5D65-1329-4269-B17C-14E058E111F6}" name="Nombre_de_Upb_final__compartiments__par_Upb_final__compartiments__2019" displayName="Nombre_de_Upb_final__compartiments__par_Upb_final__compartiments__2019" ref="A1:D23" tableType="queryTable" totalsRowShown="0">
  <autoFilter ref="A1:D23" xr:uid="{04EA5D65-1329-4269-B17C-14E058E111F6}"/>
  <tableColumns count="4">
    <tableColumn id="1" xr3:uid="{66265BD8-9686-49ED-8D61-1B4F0A660421}" uniqueName="1" name="Upb_final (compartiments)" queryTableFieldId="1" dataDxfId="13"/>
    <tableColumn id="2" xr3:uid="{7C6E9D01-1227-40E6-B2D8-438C0BC50392}" uniqueName="2" name="Nombre de Upb_final (compartiments)" queryTableFieldId="2"/>
    <tableColumn id="3" xr3:uid="{C87277C9-D821-44BA-BB47-7D17EA48274B}" uniqueName="3" name="Colonne1" queryTableFieldId="3" dataDxfId="12">
      <calculatedColumnFormula>Nombre_de_Upb_final__compartiments__par_Upb_final__compartiments__2019[[#This Row],[Nombre de Upb_final (compartiments)]]+Nombre_de_Upb_final__compartiments__par_Upb_final__compartiments__2020[[#This Row],[Nombre de Upb_final (compartiments)]]</calculatedColumnFormula>
    </tableColumn>
    <tableColumn id="4" xr3:uid="{4B7F8C32-7CA2-49B0-BC65-C20E33ADE5C6}" uniqueName="4" name="Colonne2" queryTableFieldId="4" dataDxfId="11">
      <calculatedColumnFormula>SUM(Nombre_de_Upb_final__compartiments__par_Upb_final__compartiments__2019[[#This Row],[Nombre de Upb_final (compartiments)]:[Colonne1]])</calculatedColumnFormula>
    </tableColumn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9B48297-FEFC-4823-BFB2-9111893C58D5}" name="Tableau5" displayName="Tableau5" ref="A90:C95" totalsRowShown="0">
  <autoFilter ref="A90:C95" xr:uid="{B9B48297-FEFC-4823-BFB2-9111893C58D5}"/>
  <tableColumns count="3">
    <tableColumn id="1" xr3:uid="{C48B73A3-B508-4EE0-90C2-AFDEB4BAD24B}" name="Moyenne de Uph" dataDxfId="10"/>
    <tableColumn id="2" xr3:uid="{C93BC2EB-8575-485E-8964-BF40450B3A77}" name="2019" dataDxfId="9"/>
    <tableColumn id="3" xr3:uid="{5317A941-144A-4CFC-9459-559BDEB20237}" name="202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B4B4725-9909-4280-9047-9FF965F84A7A}" name="Tableau6" displayName="Tableau6" ref="A97:C102" totalsRowShown="0" headerRowDxfId="8" dataDxfId="7">
  <autoFilter ref="A97:C102" xr:uid="{7B4B4725-9909-4280-9047-9FF965F84A7A}"/>
  <tableColumns count="3">
    <tableColumn id="1" xr3:uid="{CC61B186-F825-4F3D-A8B8-4E70C822CB93}" name="Nombre de valeur" dataDxfId="6"/>
    <tableColumn id="2" xr3:uid="{B8D32A49-C9BB-4E2B-97AE-89E5C3E8B490}" name="2019" dataDxfId="5" dataCellStyle="Milliers"/>
    <tableColumn id="3" xr3:uid="{58D28F2E-7D90-4149-86FF-D700BAFE683C}" name="2020" dataDxfId="4" dataCellStyle="Milliers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B9E6CAA-D807-4767-95F3-60867EA87672}" name="Tableau7" displayName="Tableau7" ref="A104:B126" totalsRowShown="0" headerRowDxfId="3" dataDxfId="2">
  <autoFilter ref="A104:B126" xr:uid="{0B9E6CAA-D807-4767-95F3-60867EA87672}"/>
  <tableColumns count="2">
    <tableColumn id="1" xr3:uid="{B66198C5-AEA9-4A1F-B120-82E567645610}" name="Valeur" dataDxfId="1"/>
    <tableColumn id="2" xr3:uid="{492BE9B9-BAB4-46C3-AFCE-D0E8D6ED4E1C}" name="Nombr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hyperlink" Target="https://www.effinergie.org/web/images/attach/base_doc/2913/20210429syntheseetude-renovation.pdf" TargetMode="Externa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79531-D84C-49E0-B021-44A5578389B9}">
  <dimension ref="A1:C23"/>
  <sheetViews>
    <sheetView workbookViewId="0">
      <selection activeCell="B17" sqref="B17"/>
    </sheetView>
  </sheetViews>
  <sheetFormatPr baseColWidth="10" defaultRowHeight="15" x14ac:dyDescent="0.25"/>
  <cols>
    <col min="1" max="1" width="38.28515625" bestFit="1" customWidth="1"/>
    <col min="2" max="2" width="27.5703125" bestFit="1" customWidth="1"/>
  </cols>
  <sheetData>
    <row r="1" spans="1:3" x14ac:dyDescent="0.25">
      <c r="A1" t="s">
        <v>149</v>
      </c>
      <c r="B1" t="s">
        <v>150</v>
      </c>
      <c r="C1" t="s">
        <v>151</v>
      </c>
    </row>
    <row r="2" spans="1:3" x14ac:dyDescent="0.25">
      <c r="A2">
        <v>3529</v>
      </c>
      <c r="B2" s="116">
        <v>0.15</v>
      </c>
    </row>
    <row r="3" spans="1:3" x14ac:dyDescent="0.25">
      <c r="A3">
        <v>23990</v>
      </c>
      <c r="B3" s="116">
        <v>0.2</v>
      </c>
    </row>
    <row r="4" spans="1:3" x14ac:dyDescent="0.25">
      <c r="A4">
        <v>622104</v>
      </c>
      <c r="B4" s="116">
        <v>0.25</v>
      </c>
    </row>
    <row r="5" spans="1:3" x14ac:dyDescent="0.25">
      <c r="A5">
        <v>376783</v>
      </c>
      <c r="B5" s="116">
        <v>0.3</v>
      </c>
    </row>
    <row r="6" spans="1:3" x14ac:dyDescent="0.25">
      <c r="A6">
        <v>1196052</v>
      </c>
      <c r="B6" s="116">
        <v>0.35</v>
      </c>
    </row>
    <row r="7" spans="1:3" x14ac:dyDescent="0.25">
      <c r="A7">
        <v>142648</v>
      </c>
      <c r="B7" s="116">
        <v>0.4</v>
      </c>
    </row>
    <row r="8" spans="1:3" x14ac:dyDescent="0.25">
      <c r="A8">
        <v>109309</v>
      </c>
      <c r="B8" s="116">
        <v>0.45</v>
      </c>
    </row>
    <row r="9" spans="1:3" x14ac:dyDescent="0.25">
      <c r="A9">
        <v>168261</v>
      </c>
      <c r="B9" s="116">
        <v>0.55000000000000004</v>
      </c>
    </row>
    <row r="10" spans="1:3" x14ac:dyDescent="0.25">
      <c r="A10">
        <v>91892</v>
      </c>
      <c r="B10" s="116">
        <v>0.6</v>
      </c>
    </row>
    <row r="11" spans="1:3" x14ac:dyDescent="0.25">
      <c r="A11">
        <v>17649</v>
      </c>
      <c r="B11" s="116">
        <v>0.65</v>
      </c>
    </row>
    <row r="12" spans="1:3" x14ac:dyDescent="0.25">
      <c r="A12">
        <v>33323</v>
      </c>
      <c r="B12" s="116">
        <v>0.7</v>
      </c>
    </row>
    <row r="13" spans="1:3" x14ac:dyDescent="0.25">
      <c r="A13">
        <v>12188</v>
      </c>
      <c r="B13" s="116">
        <v>0.75</v>
      </c>
    </row>
    <row r="14" spans="1:3" x14ac:dyDescent="0.25">
      <c r="A14">
        <v>69255</v>
      </c>
      <c r="B14" s="116">
        <v>0.8</v>
      </c>
    </row>
    <row r="15" spans="1:3" x14ac:dyDescent="0.25">
      <c r="A15">
        <v>70677</v>
      </c>
      <c r="B15" s="116">
        <v>0.85</v>
      </c>
    </row>
    <row r="16" spans="1:3" x14ac:dyDescent="0.25">
      <c r="A16">
        <v>62039</v>
      </c>
      <c r="B16" s="116">
        <v>0.9</v>
      </c>
    </row>
    <row r="17" spans="1:2" x14ac:dyDescent="0.25">
      <c r="A17">
        <v>62940</v>
      </c>
      <c r="B17" s="116">
        <v>0.95</v>
      </c>
    </row>
    <row r="18" spans="1:2" x14ac:dyDescent="0.25">
      <c r="A18">
        <v>26195</v>
      </c>
      <c r="B18" s="116" t="s">
        <v>141</v>
      </c>
    </row>
    <row r="19" spans="1:2" x14ac:dyDescent="0.25">
      <c r="A19">
        <v>28612</v>
      </c>
      <c r="B19" s="116">
        <v>1.1000000000000001</v>
      </c>
    </row>
    <row r="20" spans="1:2" x14ac:dyDescent="0.25">
      <c r="A20">
        <v>43172</v>
      </c>
      <c r="B20" s="116">
        <v>1.45</v>
      </c>
    </row>
    <row r="21" spans="1:2" x14ac:dyDescent="0.25">
      <c r="A21">
        <v>63659</v>
      </c>
      <c r="B21" s="116">
        <v>1.6</v>
      </c>
    </row>
    <row r="22" spans="1:2" x14ac:dyDescent="0.25">
      <c r="A22">
        <v>3003</v>
      </c>
      <c r="B22" s="116">
        <v>1.75</v>
      </c>
    </row>
    <row r="23" spans="1:2" x14ac:dyDescent="0.25">
      <c r="A23">
        <v>1063672</v>
      </c>
      <c r="B23" s="116" t="s">
        <v>142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92B3-5054-4747-9DA1-97B502410D26}">
  <dimension ref="A1:J21"/>
  <sheetViews>
    <sheetView workbookViewId="0">
      <selection activeCell="C9" sqref="C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26267.889571775366</v>
      </c>
      <c r="G5" s="19">
        <f>C9*C11*24*0.7/C14</f>
        <v>41590.825155310995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26.267889571775367</v>
      </c>
      <c r="G6" s="21">
        <f>G5/1000</f>
        <v>41.590825155310995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Ufinal!L9</f>
        <v>0.41654020787684343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0.78178242773140982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519.64189866468917</v>
      </c>
      <c r="H10" s="23">
        <f>G6*C17*C19</f>
        <v>822.76633955242437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425.16155345292742</v>
      </c>
      <c r="H11" s="24">
        <f>G6*C17*C20</f>
        <v>673.17245963380174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283.44103563528495</v>
      </c>
      <c r="H12" s="25">
        <f>G6*C17*C21</f>
        <v>448.78163975586784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728.79776287722643</v>
      </c>
      <c r="H15" s="23">
        <f>ROUNDDOWN(G15,-2)</f>
        <v>700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596.28907871773072</v>
      </c>
      <c r="H16" s="24">
        <f>ROUNDDOWN(G16,-2)</f>
        <v>500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397.52605247848709</v>
      </c>
      <c r="H17" s="25">
        <f>ROUNDUP(G17,-2)</f>
        <v>400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88F5C-B371-4536-A41C-6B199104723C}">
  <dimension ref="A1:J21"/>
  <sheetViews>
    <sheetView workbookViewId="0">
      <selection activeCell="C9" sqref="C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24713.889571775366</v>
      </c>
      <c r="G5" s="19">
        <f>C9*C11*24*0.7/C14</f>
        <v>39130.325155310995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24.713889571775365</v>
      </c>
      <c r="G6" s="21">
        <f>G5/1000</f>
        <v>39.130325155310992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Ufinal!L10</f>
        <v>0.46279020787684344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0.73553242773140981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488.90004906468909</v>
      </c>
      <c r="H10" s="23">
        <f>G6*C17*C19</f>
        <v>774.09174435242426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400.00913105292739</v>
      </c>
      <c r="H11" s="24">
        <f>G6*C17*C20</f>
        <v>633.3477908338017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266.67275403528492</v>
      </c>
      <c r="H12" s="25">
        <f>G6*C17*C21</f>
        <v>422.23186055586774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685.68231881322629</v>
      </c>
      <c r="H15" s="23">
        <f>ROUNDDOWN(G15,-2)</f>
        <v>600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561.01280630173062</v>
      </c>
      <c r="H16" s="24">
        <f>ROUNDDOWN(G16,-2)</f>
        <v>500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374.00853753448706</v>
      </c>
      <c r="H17" s="25">
        <f>ROUNDUP(G17,-2)</f>
        <v>400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FEAF3-E038-492C-9335-E0CB16111A66}">
  <dimension ref="A1:J21"/>
  <sheetViews>
    <sheetView workbookViewId="0">
      <selection activeCell="C9" sqref="C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26645.889571775369</v>
      </c>
      <c r="G5" s="19">
        <f>C9*C11*24*0.7/C14</f>
        <v>42189.325155311002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26.645889571775371</v>
      </c>
      <c r="G6" s="21">
        <f>G5/1000</f>
        <v>42.189325155311003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Ufinal!L11</f>
        <v>0.40529020787684344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0.79303242773140981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527.11964586468923</v>
      </c>
      <c r="H10" s="23">
        <f>G6*C17*C19</f>
        <v>834.60610595242451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431.27971025292749</v>
      </c>
      <c r="H11" s="24">
        <f>G6*C17*C20</f>
        <v>682.85954123380191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287.51980683528501</v>
      </c>
      <c r="H12" s="25">
        <f>G6*C17*C21</f>
        <v>455.23969415586788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739.28530332522655</v>
      </c>
      <c r="H15" s="23">
        <f>ROUNDDOWN(G15,-2)</f>
        <v>700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604.86979362973079</v>
      </c>
      <c r="H16" s="24">
        <f>ROUNDDOWN(G16,-2)</f>
        <v>600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403.24652908648716</v>
      </c>
      <c r="H17" s="25">
        <f>ROUNDUP(G17,-2)</f>
        <v>500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A5F01-3EC3-41D5-B82A-39007A5BC475}">
  <dimension ref="A1:D23"/>
  <sheetViews>
    <sheetView workbookViewId="0">
      <selection activeCell="D2" sqref="D2:D23"/>
    </sheetView>
  </sheetViews>
  <sheetFormatPr baseColWidth="10" defaultRowHeight="15" x14ac:dyDescent="0.25"/>
  <cols>
    <col min="1" max="1" width="27.5703125" bestFit="1" customWidth="1"/>
    <col min="2" max="2" width="38.28515625" bestFit="1" customWidth="1"/>
  </cols>
  <sheetData>
    <row r="1" spans="1:4" x14ac:dyDescent="0.25">
      <c r="A1" t="s">
        <v>150</v>
      </c>
      <c r="B1" t="s">
        <v>149</v>
      </c>
      <c r="C1" t="s">
        <v>151</v>
      </c>
      <c r="D1" t="s">
        <v>153</v>
      </c>
    </row>
    <row r="2" spans="1:4" x14ac:dyDescent="0.25">
      <c r="A2" s="116">
        <v>0.15</v>
      </c>
      <c r="B2">
        <v>3902</v>
      </c>
      <c r="C2">
        <v>3020</v>
      </c>
      <c r="D2">
        <f>SUM(Nombre_de_Upb_final__compartiments__par_Upb_final__compartiments__2019[[#This Row],[Nombre de Upb_final (compartiments)]:[Colonne1]])</f>
        <v>6922</v>
      </c>
    </row>
    <row r="3" spans="1:4" x14ac:dyDescent="0.25">
      <c r="A3" s="116">
        <v>0.2</v>
      </c>
      <c r="B3">
        <v>34636</v>
      </c>
      <c r="C3">
        <v>37827</v>
      </c>
      <c r="D3">
        <f>SUM(Nombre_de_Upb_final__compartiments__par_Upb_final__compartiments__2019[[#This Row],[Nombre de Upb_final (compartiments)]:[Colonne1]])</f>
        <v>72463</v>
      </c>
    </row>
    <row r="4" spans="1:4" x14ac:dyDescent="0.25">
      <c r="A4" s="116">
        <v>0.25</v>
      </c>
      <c r="B4">
        <v>704828</v>
      </c>
      <c r="C4">
        <v>909058</v>
      </c>
      <c r="D4">
        <f>SUM(Nombre_de_Upb_final__compartiments__par_Upb_final__compartiments__2019[[#This Row],[Nombre de Upb_final (compartiments)]:[Colonne1]])</f>
        <v>1613886</v>
      </c>
    </row>
    <row r="5" spans="1:4" x14ac:dyDescent="0.25">
      <c r="A5" s="116">
        <v>0.3</v>
      </c>
      <c r="B5">
        <v>399100</v>
      </c>
      <c r="C5">
        <v>426668</v>
      </c>
      <c r="D5">
        <f>SUM(Nombre_de_Upb_final__compartiments__par_Upb_final__compartiments__2019[[#This Row],[Nombre de Upb_final (compartiments)]:[Colonne1]])</f>
        <v>825768</v>
      </c>
    </row>
    <row r="6" spans="1:4" x14ac:dyDescent="0.25">
      <c r="A6" s="116">
        <v>0.35</v>
      </c>
      <c r="B6">
        <v>1256861</v>
      </c>
      <c r="C6">
        <v>1397401</v>
      </c>
      <c r="D6">
        <f>SUM(Nombre_de_Upb_final__compartiments__par_Upb_final__compartiments__2019[[#This Row],[Nombre de Upb_final (compartiments)]:[Colonne1]])</f>
        <v>2654262</v>
      </c>
    </row>
    <row r="7" spans="1:4" x14ac:dyDescent="0.25">
      <c r="A7" s="116">
        <v>0.4</v>
      </c>
      <c r="B7">
        <v>381246</v>
      </c>
      <c r="C7">
        <v>46628</v>
      </c>
      <c r="D7">
        <f>SUM(Nombre_de_Upb_final__compartiments__par_Upb_final__compartiments__2019[[#This Row],[Nombre de Upb_final (compartiments)]:[Colonne1]])</f>
        <v>427874</v>
      </c>
    </row>
    <row r="8" spans="1:4" x14ac:dyDescent="0.25">
      <c r="A8" s="116">
        <v>0.45</v>
      </c>
      <c r="B8">
        <v>109532</v>
      </c>
      <c r="C8">
        <v>119955</v>
      </c>
      <c r="D8">
        <f>SUM(Nombre_de_Upb_final__compartiments__par_Upb_final__compartiments__2019[[#This Row],[Nombre de Upb_final (compartiments)]:[Colonne1]])</f>
        <v>229487</v>
      </c>
    </row>
    <row r="9" spans="1:4" x14ac:dyDescent="0.25">
      <c r="A9" s="116">
        <v>0.55000000000000004</v>
      </c>
      <c r="B9">
        <v>312736</v>
      </c>
      <c r="C9">
        <v>599923</v>
      </c>
      <c r="D9">
        <f>SUM(Nombre_de_Upb_final__compartiments__par_Upb_final__compartiments__2019[[#This Row],[Nombre de Upb_final (compartiments)]:[Colonne1]])</f>
        <v>912659</v>
      </c>
    </row>
    <row r="10" spans="1:4" x14ac:dyDescent="0.25">
      <c r="A10" s="116">
        <v>0.6</v>
      </c>
      <c r="B10">
        <v>113758</v>
      </c>
      <c r="C10">
        <v>192972</v>
      </c>
      <c r="D10">
        <f>SUM(Nombre_de_Upb_final__compartiments__par_Upb_final__compartiments__2019[[#This Row],[Nombre de Upb_final (compartiments)]:[Colonne1]])</f>
        <v>306730</v>
      </c>
    </row>
    <row r="11" spans="1:4" x14ac:dyDescent="0.25">
      <c r="A11" s="116">
        <v>0.65</v>
      </c>
      <c r="B11">
        <v>18778</v>
      </c>
      <c r="C11">
        <v>48977</v>
      </c>
      <c r="D11">
        <f>SUM(Nombre_de_Upb_final__compartiments__par_Upb_final__compartiments__2019[[#This Row],[Nombre de Upb_final (compartiments)]:[Colonne1]])</f>
        <v>67755</v>
      </c>
    </row>
    <row r="12" spans="1:4" x14ac:dyDescent="0.25">
      <c r="A12" s="116">
        <v>0.7</v>
      </c>
      <c r="B12">
        <v>39961</v>
      </c>
      <c r="C12">
        <v>43444</v>
      </c>
      <c r="D12">
        <f>SUM(Nombre_de_Upb_final__compartiments__par_Upb_final__compartiments__2019[[#This Row],[Nombre de Upb_final (compartiments)]:[Colonne1]])</f>
        <v>83405</v>
      </c>
    </row>
    <row r="13" spans="1:4" x14ac:dyDescent="0.25">
      <c r="A13" s="116">
        <v>0.75</v>
      </c>
      <c r="B13">
        <v>12407</v>
      </c>
      <c r="C13">
        <v>44179</v>
      </c>
      <c r="D13">
        <f>SUM(Nombre_de_Upb_final__compartiments__par_Upb_final__compartiments__2019[[#This Row],[Nombre de Upb_final (compartiments)]:[Colonne1]])</f>
        <v>56586</v>
      </c>
    </row>
    <row r="14" spans="1:4" x14ac:dyDescent="0.25">
      <c r="A14" s="116">
        <v>0.8</v>
      </c>
      <c r="B14">
        <v>82112</v>
      </c>
      <c r="C14">
        <v>130113</v>
      </c>
      <c r="D14">
        <f>SUM(Nombre_de_Upb_final__compartiments__par_Upb_final__compartiments__2019[[#This Row],[Nombre de Upb_final (compartiments)]:[Colonne1]])</f>
        <v>212225</v>
      </c>
    </row>
    <row r="15" spans="1:4" x14ac:dyDescent="0.25">
      <c r="A15" s="116">
        <v>0.85</v>
      </c>
      <c r="B15">
        <v>94090</v>
      </c>
      <c r="C15">
        <v>324055</v>
      </c>
      <c r="D15">
        <f>SUM(Nombre_de_Upb_final__compartiments__par_Upb_final__compartiments__2019[[#This Row],[Nombre de Upb_final (compartiments)]:[Colonne1]])</f>
        <v>418145</v>
      </c>
    </row>
    <row r="16" spans="1:4" x14ac:dyDescent="0.25">
      <c r="A16" s="116">
        <v>0.9</v>
      </c>
      <c r="B16">
        <v>74254</v>
      </c>
      <c r="C16">
        <v>141064</v>
      </c>
      <c r="D16">
        <f>SUM(Nombre_de_Upb_final__compartiments__par_Upb_final__compartiments__2019[[#This Row],[Nombre de Upb_final (compartiments)]:[Colonne1]])</f>
        <v>215318</v>
      </c>
    </row>
    <row r="17" spans="1:4" x14ac:dyDescent="0.25">
      <c r="A17" s="116">
        <v>0.95</v>
      </c>
      <c r="B17">
        <v>65656</v>
      </c>
      <c r="C17">
        <v>90446</v>
      </c>
      <c r="D17">
        <f>SUM(Nombre_de_Upb_final__compartiments__par_Upb_final__compartiments__2019[[#This Row],[Nombre de Upb_final (compartiments)]:[Colonne1]])</f>
        <v>156102</v>
      </c>
    </row>
    <row r="18" spans="1:4" x14ac:dyDescent="0.25">
      <c r="A18" s="116">
        <v>1</v>
      </c>
      <c r="B18">
        <v>28045</v>
      </c>
      <c r="C18">
        <v>41036</v>
      </c>
      <c r="D18">
        <f>SUM(Nombre_de_Upb_final__compartiments__par_Upb_final__compartiments__2019[[#This Row],[Nombre de Upb_final (compartiments)]:[Colonne1]])</f>
        <v>69081</v>
      </c>
    </row>
    <row r="19" spans="1:4" x14ac:dyDescent="0.25">
      <c r="A19" s="116">
        <v>1.1000000000000001</v>
      </c>
      <c r="B19">
        <v>29145</v>
      </c>
      <c r="C19">
        <v>3247</v>
      </c>
      <c r="D19">
        <f>SUM(Nombre_de_Upb_final__compartiments__par_Upb_final__compartiments__2019[[#This Row],[Nombre de Upb_final (compartiments)]:[Colonne1]])</f>
        <v>32392</v>
      </c>
    </row>
    <row r="20" spans="1:4" x14ac:dyDescent="0.25">
      <c r="A20" s="116">
        <v>1.45</v>
      </c>
      <c r="B20">
        <v>45405</v>
      </c>
      <c r="C20">
        <v>34209</v>
      </c>
      <c r="D20">
        <f>SUM(Nombre_de_Upb_final__compartiments__par_Upb_final__compartiments__2019[[#This Row],[Nombre de Upb_final (compartiments)]:[Colonne1]])</f>
        <v>79614</v>
      </c>
    </row>
    <row r="21" spans="1:4" x14ac:dyDescent="0.25">
      <c r="A21" s="116">
        <v>1.6</v>
      </c>
      <c r="B21">
        <v>64397</v>
      </c>
      <c r="C21">
        <v>66220</v>
      </c>
      <c r="D21">
        <f>SUM(Nombre_de_Upb_final__compartiments__par_Upb_final__compartiments__2019[[#This Row],[Nombre de Upb_final (compartiments)]:[Colonne1]])</f>
        <v>130617</v>
      </c>
    </row>
    <row r="22" spans="1:4" x14ac:dyDescent="0.25">
      <c r="A22" s="116">
        <v>1.75</v>
      </c>
      <c r="B22">
        <v>3020</v>
      </c>
      <c r="C22">
        <v>3449</v>
      </c>
      <c r="D22">
        <f>SUM(Nombre_de_Upb_final__compartiments__par_Upb_final__compartiments__2019[[#This Row],[Nombre de Upb_final (compartiments)]:[Colonne1]])</f>
        <v>6469</v>
      </c>
    </row>
    <row r="23" spans="1:4" x14ac:dyDescent="0.25">
      <c r="A23" s="116">
        <v>2</v>
      </c>
      <c r="B23">
        <v>1314200</v>
      </c>
      <c r="C23">
        <v>1931449</v>
      </c>
      <c r="D23">
        <f>SUM(Nombre_de_Upb_final__compartiments__par_Upb_final__compartiments__2019[[#This Row],[Nombre de Upb_final (compartiments)]:[Colonne1]])</f>
        <v>3245649</v>
      </c>
    </row>
  </sheetData>
  <phoneticPr fontId="16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01A21-C4DF-439C-8687-0140C445A9CE}">
  <dimension ref="A1:E142"/>
  <sheetViews>
    <sheetView topLeftCell="A100" zoomScale="80" zoomScaleNormal="80" workbookViewId="0">
      <selection activeCell="B142" sqref="B142"/>
    </sheetView>
  </sheetViews>
  <sheetFormatPr baseColWidth="10" defaultRowHeight="15" x14ac:dyDescent="0.25"/>
  <cols>
    <col min="1" max="1" width="44.7109375" customWidth="1"/>
    <col min="2" max="2" width="18.140625" customWidth="1"/>
    <col min="3" max="3" width="15.7109375" customWidth="1"/>
    <col min="4" max="4" width="25.5703125" customWidth="1"/>
    <col min="5" max="5" width="39" customWidth="1"/>
  </cols>
  <sheetData>
    <row r="1" spans="1:5" ht="32.25" customHeight="1" x14ac:dyDescent="0.25">
      <c r="A1" s="117" t="s">
        <v>54</v>
      </c>
      <c r="B1" s="120" t="s">
        <v>55</v>
      </c>
      <c r="C1" s="120" t="s">
        <v>18</v>
      </c>
      <c r="D1" s="120" t="s">
        <v>19</v>
      </c>
      <c r="E1" s="117" t="s">
        <v>56</v>
      </c>
    </row>
    <row r="2" spans="1:5" x14ac:dyDescent="0.25">
      <c r="A2" s="120" t="s">
        <v>57</v>
      </c>
      <c r="B2" s="120">
        <v>0.6</v>
      </c>
      <c r="C2" s="120">
        <v>0.28999999999999998</v>
      </c>
      <c r="D2" s="120">
        <v>0.11</v>
      </c>
      <c r="E2" s="120"/>
    </row>
    <row r="3" spans="1:5" x14ac:dyDescent="0.25">
      <c r="A3" s="120" t="s">
        <v>58</v>
      </c>
      <c r="B3" s="120">
        <v>2</v>
      </c>
      <c r="C3" s="120">
        <v>2</v>
      </c>
      <c r="D3" s="120">
        <v>2</v>
      </c>
      <c r="E3" s="124">
        <v>2</v>
      </c>
    </row>
    <row r="4" spans="1:5" x14ac:dyDescent="0.25">
      <c r="A4" s="120" t="s">
        <v>59</v>
      </c>
      <c r="B4" s="120">
        <v>0.9</v>
      </c>
      <c r="C4" s="120">
        <v>0.95</v>
      </c>
      <c r="D4" s="120">
        <v>1</v>
      </c>
      <c r="E4" s="124">
        <f t="shared" ref="E4:E10" si="0">B4*$B$2+C4*$C$2+D4*$D$2</f>
        <v>0.92549999999999999</v>
      </c>
    </row>
    <row r="5" spans="1:5" x14ac:dyDescent="0.25">
      <c r="A5" s="120" t="s">
        <v>60</v>
      </c>
      <c r="B5" s="120">
        <v>0.85</v>
      </c>
      <c r="C5" s="120">
        <v>0.9</v>
      </c>
      <c r="D5" s="120">
        <v>0.95</v>
      </c>
      <c r="E5" s="124">
        <f t="shared" si="0"/>
        <v>0.87550000000000006</v>
      </c>
    </row>
    <row r="6" spans="1:5" x14ac:dyDescent="0.25">
      <c r="A6" s="120" t="s">
        <v>61</v>
      </c>
      <c r="B6" s="120">
        <v>0.68</v>
      </c>
      <c r="C6" s="120">
        <v>0.66</v>
      </c>
      <c r="D6" s="120">
        <v>0.84</v>
      </c>
      <c r="E6" s="124">
        <f t="shared" si="0"/>
        <v>0.69180000000000008</v>
      </c>
    </row>
    <row r="7" spans="1:5" x14ac:dyDescent="0.25">
      <c r="A7" s="120" t="s">
        <v>62</v>
      </c>
      <c r="B7" s="120">
        <v>0.53</v>
      </c>
      <c r="C7" s="120">
        <v>0.61</v>
      </c>
      <c r="D7" s="120">
        <v>0.53</v>
      </c>
      <c r="E7" s="124">
        <v>0.53</v>
      </c>
    </row>
    <row r="8" spans="1:5" x14ac:dyDescent="0.25">
      <c r="A8" s="125" t="s">
        <v>63</v>
      </c>
      <c r="B8" s="120">
        <v>0.3</v>
      </c>
      <c r="C8" s="120">
        <v>0.3</v>
      </c>
      <c r="D8" s="120">
        <v>0.47</v>
      </c>
      <c r="E8" s="124">
        <f t="shared" si="0"/>
        <v>0.31869999999999998</v>
      </c>
    </row>
    <row r="9" spans="1:5" x14ac:dyDescent="0.25">
      <c r="A9" s="125" t="s">
        <v>64</v>
      </c>
      <c r="B9" s="120">
        <v>0.27</v>
      </c>
      <c r="C9" s="120">
        <v>0.27</v>
      </c>
      <c r="D9" s="120">
        <v>0.4</v>
      </c>
      <c r="E9" s="124">
        <f t="shared" si="0"/>
        <v>0.2843</v>
      </c>
    </row>
    <row r="10" spans="1:5" x14ac:dyDescent="0.25">
      <c r="A10" s="120" t="s">
        <v>65</v>
      </c>
      <c r="B10" s="120">
        <v>0.23</v>
      </c>
      <c r="C10" s="120">
        <v>0.23</v>
      </c>
      <c r="D10" s="120">
        <v>0.25</v>
      </c>
      <c r="E10" s="124">
        <f t="shared" si="0"/>
        <v>0.23219999999999999</v>
      </c>
    </row>
    <row r="11" spans="1:5" x14ac:dyDescent="0.25">
      <c r="A11" s="27"/>
      <c r="B11" s="27"/>
      <c r="C11" s="27"/>
      <c r="D11" s="27"/>
      <c r="E11" s="28"/>
    </row>
    <row r="12" spans="1:5" ht="39.75" customHeight="1" x14ac:dyDescent="0.25">
      <c r="D12" s="26" t="s">
        <v>67</v>
      </c>
    </row>
    <row r="13" spans="1:5" ht="75" customHeight="1" x14ac:dyDescent="0.25">
      <c r="A13" s="120"/>
      <c r="B13" s="121" t="s">
        <v>26</v>
      </c>
      <c r="C13" s="121" t="s">
        <v>27</v>
      </c>
      <c r="D13" s="118" t="s">
        <v>66</v>
      </c>
      <c r="E13" s="118" t="s">
        <v>68</v>
      </c>
    </row>
    <row r="14" spans="1:5" ht="16.5" customHeight="1" x14ac:dyDescent="0.25">
      <c r="A14" s="117" t="s">
        <v>28</v>
      </c>
      <c r="B14" s="120" t="s">
        <v>29</v>
      </c>
      <c r="C14" s="120">
        <v>3.6</v>
      </c>
      <c r="D14" s="122">
        <f>$E$3</f>
        <v>2</v>
      </c>
      <c r="E14" s="120">
        <f>D14*0.5+0.5*1</f>
        <v>1.5</v>
      </c>
    </row>
    <row r="15" spans="1:5" ht="15" customHeight="1" x14ac:dyDescent="0.25">
      <c r="A15" s="117" t="s">
        <v>30</v>
      </c>
      <c r="B15" s="120" t="s">
        <v>29</v>
      </c>
      <c r="C15" s="120">
        <v>3.3</v>
      </c>
      <c r="D15" s="122">
        <f t="shared" ref="D15:D24" si="1">$E$3</f>
        <v>2</v>
      </c>
      <c r="E15" s="120">
        <f t="shared" ref="E15:E24" si="2">D15*0.5+0.5*1</f>
        <v>1.5</v>
      </c>
    </row>
    <row r="16" spans="1:5" x14ac:dyDescent="0.25">
      <c r="A16" s="117" t="s">
        <v>31</v>
      </c>
      <c r="B16" s="120" t="s">
        <v>29</v>
      </c>
      <c r="C16" s="120">
        <v>3.1</v>
      </c>
      <c r="D16" s="122">
        <f t="shared" si="1"/>
        <v>2</v>
      </c>
      <c r="E16" s="120">
        <f t="shared" si="2"/>
        <v>1.5</v>
      </c>
    </row>
    <row r="17" spans="1:5" ht="14.25" customHeight="1" x14ac:dyDescent="0.25">
      <c r="A17" s="117" t="s">
        <v>32</v>
      </c>
      <c r="B17" s="120" t="s">
        <v>29</v>
      </c>
      <c r="C17" s="120">
        <v>16.600000000000001</v>
      </c>
      <c r="D17" s="122">
        <f t="shared" si="1"/>
        <v>2</v>
      </c>
      <c r="E17" s="120">
        <f t="shared" si="2"/>
        <v>1.5</v>
      </c>
    </row>
    <row r="18" spans="1:5" x14ac:dyDescent="0.25">
      <c r="A18" s="117" t="s">
        <v>33</v>
      </c>
      <c r="B18" s="120" t="s">
        <v>34</v>
      </c>
      <c r="C18" s="120">
        <v>3.2</v>
      </c>
      <c r="D18" s="122">
        <f t="shared" si="1"/>
        <v>2</v>
      </c>
      <c r="E18" s="120">
        <f t="shared" si="2"/>
        <v>1.5</v>
      </c>
    </row>
    <row r="19" spans="1:5" ht="14.25" customHeight="1" x14ac:dyDescent="0.25">
      <c r="A19" s="117" t="s">
        <v>35</v>
      </c>
      <c r="B19" s="120" t="s">
        <v>34</v>
      </c>
      <c r="C19" s="120">
        <v>0.45</v>
      </c>
      <c r="D19" s="122">
        <f t="shared" si="1"/>
        <v>2</v>
      </c>
      <c r="E19" s="120">
        <f t="shared" si="2"/>
        <v>1.5</v>
      </c>
    </row>
    <row r="20" spans="1:5" ht="15.75" customHeight="1" x14ac:dyDescent="0.25">
      <c r="A20" s="117" t="s">
        <v>36</v>
      </c>
      <c r="B20" s="120" t="s">
        <v>34</v>
      </c>
      <c r="C20" s="120">
        <v>3.9</v>
      </c>
      <c r="D20" s="122">
        <f t="shared" si="1"/>
        <v>2</v>
      </c>
      <c r="E20" s="120">
        <f t="shared" si="2"/>
        <v>1.5</v>
      </c>
    </row>
    <row r="21" spans="1:5" ht="18.75" customHeight="1" x14ac:dyDescent="0.25">
      <c r="A21" s="117" t="s">
        <v>37</v>
      </c>
      <c r="B21" s="120" t="s">
        <v>38</v>
      </c>
      <c r="C21" s="120">
        <v>7.1</v>
      </c>
      <c r="D21" s="122">
        <f t="shared" si="1"/>
        <v>2</v>
      </c>
      <c r="E21" s="120">
        <f t="shared" si="2"/>
        <v>1.5</v>
      </c>
    </row>
    <row r="22" spans="1:5" ht="17.25" customHeight="1" x14ac:dyDescent="0.25">
      <c r="A22" s="117" t="s">
        <v>39</v>
      </c>
      <c r="B22" s="120" t="s">
        <v>38</v>
      </c>
      <c r="C22" s="120">
        <v>4.8</v>
      </c>
      <c r="D22" s="122">
        <f t="shared" si="1"/>
        <v>2</v>
      </c>
      <c r="E22" s="120">
        <f t="shared" si="2"/>
        <v>1.5</v>
      </c>
    </row>
    <row r="23" spans="1:5" ht="17.25" customHeight="1" x14ac:dyDescent="0.25">
      <c r="A23" s="117" t="s">
        <v>40</v>
      </c>
      <c r="B23" s="120" t="s">
        <v>41</v>
      </c>
      <c r="C23" s="120">
        <v>5.0999999999999996</v>
      </c>
      <c r="D23" s="122">
        <f t="shared" si="1"/>
        <v>2</v>
      </c>
      <c r="E23" s="120">
        <f t="shared" si="2"/>
        <v>1.5</v>
      </c>
    </row>
    <row r="24" spans="1:5" ht="19.5" customHeight="1" x14ac:dyDescent="0.25">
      <c r="A24" s="117" t="s">
        <v>42</v>
      </c>
      <c r="B24" s="120" t="s">
        <v>41</v>
      </c>
      <c r="C24" s="120">
        <v>2.2999999999999998</v>
      </c>
      <c r="D24" s="122">
        <f t="shared" si="1"/>
        <v>2</v>
      </c>
      <c r="E24" s="120">
        <f t="shared" si="2"/>
        <v>1.5</v>
      </c>
    </row>
    <row r="25" spans="1:5" ht="18.75" customHeight="1" x14ac:dyDescent="0.25">
      <c r="A25" s="117" t="s">
        <v>43</v>
      </c>
      <c r="B25" s="120" t="s">
        <v>44</v>
      </c>
      <c r="C25" s="120">
        <v>7.7</v>
      </c>
      <c r="D25" s="123">
        <f>SUM(E4:E5)/2</f>
        <v>0.90050000000000008</v>
      </c>
      <c r="E25" s="123">
        <f>D25</f>
        <v>0.90050000000000008</v>
      </c>
    </row>
    <row r="26" spans="1:5" ht="16.5" customHeight="1" x14ac:dyDescent="0.25">
      <c r="A26" s="117" t="s">
        <v>45</v>
      </c>
      <c r="B26" s="120" t="s">
        <v>44</v>
      </c>
      <c r="C26" s="120">
        <v>3.1</v>
      </c>
      <c r="D26" s="123">
        <f>(E4+E5)/2</f>
        <v>0.90050000000000008</v>
      </c>
      <c r="E26" s="123">
        <f t="shared" ref="E26:E30" si="3">D26</f>
        <v>0.90050000000000008</v>
      </c>
    </row>
    <row r="27" spans="1:5" ht="16.5" customHeight="1" x14ac:dyDescent="0.25">
      <c r="A27" s="117" t="s">
        <v>46</v>
      </c>
      <c r="B27" s="120" t="s">
        <v>47</v>
      </c>
      <c r="C27" s="120">
        <v>9.9</v>
      </c>
      <c r="D27" s="123">
        <f>E6</f>
        <v>0.69180000000000008</v>
      </c>
      <c r="E27" s="123">
        <f t="shared" si="3"/>
        <v>0.69180000000000008</v>
      </c>
    </row>
    <row r="28" spans="1:5" ht="18" customHeight="1" x14ac:dyDescent="0.25">
      <c r="A28" s="117" t="s">
        <v>48</v>
      </c>
      <c r="B28" s="120" t="s">
        <v>49</v>
      </c>
      <c r="C28" s="120">
        <v>9.6</v>
      </c>
      <c r="D28" s="123">
        <f>E7</f>
        <v>0.53</v>
      </c>
      <c r="E28" s="123">
        <f t="shared" si="3"/>
        <v>0.53</v>
      </c>
    </row>
    <row r="29" spans="1:5" ht="15" customHeight="1" x14ac:dyDescent="0.25">
      <c r="A29" s="117" t="s">
        <v>50</v>
      </c>
      <c r="B29" s="120" t="s">
        <v>51</v>
      </c>
      <c r="C29" s="120">
        <v>5.5</v>
      </c>
      <c r="D29" s="123">
        <f>E8</f>
        <v>0.31869999999999998</v>
      </c>
      <c r="E29" s="123">
        <f t="shared" si="3"/>
        <v>0.31869999999999998</v>
      </c>
    </row>
    <row r="30" spans="1:5" ht="18" customHeight="1" x14ac:dyDescent="0.25">
      <c r="A30" s="117" t="s">
        <v>52</v>
      </c>
      <c r="B30" s="120" t="s">
        <v>53</v>
      </c>
      <c r="C30" s="120">
        <v>11</v>
      </c>
      <c r="D30" s="123">
        <f>SUM(E9:E10)/2</f>
        <v>0.25824999999999998</v>
      </c>
      <c r="E30" s="123">
        <f t="shared" si="3"/>
        <v>0.25824999999999998</v>
      </c>
    </row>
    <row r="32" spans="1:5" x14ac:dyDescent="0.25">
      <c r="A32" s="126" t="s">
        <v>69</v>
      </c>
      <c r="B32" s="126"/>
      <c r="C32" s="126"/>
      <c r="D32" s="126"/>
      <c r="E32" s="126"/>
    </row>
    <row r="34" spans="1:5" x14ac:dyDescent="0.25">
      <c r="A34" s="117"/>
      <c r="B34" s="127" t="s">
        <v>70</v>
      </c>
      <c r="C34" s="127"/>
      <c r="D34" s="127"/>
      <c r="E34" s="127"/>
    </row>
    <row r="35" spans="1:5" ht="76.5" customHeight="1" x14ac:dyDescent="0.25">
      <c r="A35" s="117"/>
      <c r="B35" s="118" t="s">
        <v>71</v>
      </c>
      <c r="C35" s="118" t="s">
        <v>72</v>
      </c>
      <c r="D35" s="118" t="s">
        <v>73</v>
      </c>
      <c r="E35" s="118" t="s">
        <v>74</v>
      </c>
    </row>
    <row r="36" spans="1:5" x14ac:dyDescent="0.25">
      <c r="A36" s="117" t="s">
        <v>75</v>
      </c>
      <c r="B36" s="119">
        <f>SUMPRODUCT(D14:D24,C14:C24)/SUM(C14:C24)</f>
        <v>2</v>
      </c>
      <c r="C36" s="119">
        <f>SUMPRODUCT(D14:D27,C14:C27)/SUM(C14:C27)</f>
        <v>1.6651951449763991</v>
      </c>
      <c r="D36" s="119">
        <f>SUMPRODUCT(D14:D28,C14:C28)/SUM(C14:C28)</f>
        <v>1.5350712835820894</v>
      </c>
      <c r="E36" s="119">
        <f>SUMPRODUCT(D14:D29,C14:C29)/SUM(C14:C29)</f>
        <v>1.4601128291316525</v>
      </c>
    </row>
    <row r="37" spans="1:5" x14ac:dyDescent="0.25">
      <c r="A37" s="117" t="s">
        <v>76</v>
      </c>
      <c r="B37" s="119">
        <f>SUMPRODUCT(E14:E24,C14:C24)/SUM(C14:C24)</f>
        <v>1.5000000000000002</v>
      </c>
      <c r="C37" s="119">
        <f>SUMPRODUCT(E14:E27,C14:C27)/SUM(C14:C27)</f>
        <v>1.3047770734996631</v>
      </c>
      <c r="D37" s="119">
        <f>SUMPRODUCT(E14:E28,C14:C28)/SUM(C14:C28)</f>
        <v>1.2159668059701494</v>
      </c>
      <c r="E37" s="119">
        <f>SUMPRODUCT(E14:E29,C14:C29)/SUM(C14:C29)</f>
        <v>1.1606730532212886</v>
      </c>
    </row>
    <row r="39" spans="1:5" ht="15.75" x14ac:dyDescent="0.25">
      <c r="A39" s="29" t="s">
        <v>154</v>
      </c>
    </row>
    <row r="41" spans="1:5" x14ac:dyDescent="0.25">
      <c r="A41" t="s">
        <v>79</v>
      </c>
    </row>
    <row r="42" spans="1:5" x14ac:dyDescent="0.25">
      <c r="A42" s="30" t="s">
        <v>80</v>
      </c>
    </row>
    <row r="71" spans="1:2" hidden="1" x14ac:dyDescent="0.25">
      <c r="A71">
        <v>0.5</v>
      </c>
      <c r="B71">
        <v>18</v>
      </c>
    </row>
    <row r="72" spans="1:2" hidden="1" x14ac:dyDescent="0.25">
      <c r="A72">
        <v>1</v>
      </c>
      <c r="B72">
        <v>30</v>
      </c>
    </row>
    <row r="73" spans="1:2" hidden="1" x14ac:dyDescent="0.25">
      <c r="A73">
        <v>1.5</v>
      </c>
      <c r="B73">
        <v>25</v>
      </c>
    </row>
    <row r="74" spans="1:2" hidden="1" x14ac:dyDescent="0.25">
      <c r="A74">
        <v>2</v>
      </c>
      <c r="B74">
        <v>18</v>
      </c>
    </row>
    <row r="75" spans="1:2" hidden="1" x14ac:dyDescent="0.25">
      <c r="A75">
        <v>2.5</v>
      </c>
      <c r="B75">
        <v>4</v>
      </c>
    </row>
    <row r="76" spans="1:2" hidden="1" x14ac:dyDescent="0.25">
      <c r="A76">
        <v>3</v>
      </c>
      <c r="B76">
        <v>4</v>
      </c>
    </row>
    <row r="77" spans="1:2" hidden="1" x14ac:dyDescent="0.25">
      <c r="A77">
        <v>3.5</v>
      </c>
      <c r="B77">
        <v>2</v>
      </c>
    </row>
    <row r="78" spans="1:2" hidden="1" x14ac:dyDescent="0.25">
      <c r="A78">
        <v>4</v>
      </c>
      <c r="B78">
        <v>2</v>
      </c>
    </row>
    <row r="79" spans="1:2" hidden="1" x14ac:dyDescent="0.25">
      <c r="A79">
        <v>4.5</v>
      </c>
      <c r="B79">
        <v>1</v>
      </c>
    </row>
    <row r="80" spans="1:2" hidden="1" x14ac:dyDescent="0.25">
      <c r="A80">
        <v>5</v>
      </c>
      <c r="B80">
        <v>2</v>
      </c>
    </row>
    <row r="81" spans="1:3" hidden="1" x14ac:dyDescent="0.25">
      <c r="A81">
        <v>5.5</v>
      </c>
      <c r="B81">
        <v>1</v>
      </c>
    </row>
    <row r="82" spans="1:3" ht="30" x14ac:dyDescent="0.25">
      <c r="A82" s="31" t="s">
        <v>81</v>
      </c>
      <c r="B82" s="37">
        <f>SUMPRODUCT(A71:A81,B71:B81)/SUM(B71:B81)</f>
        <v>1.5841121495327102</v>
      </c>
    </row>
    <row r="83" spans="1:3" x14ac:dyDescent="0.25">
      <c r="A83" s="32" t="s">
        <v>82</v>
      </c>
      <c r="B83" s="38">
        <f>1/(0.27+B82)</f>
        <v>0.53934170069055898</v>
      </c>
    </row>
    <row r="85" spans="1:3" ht="15.75" x14ac:dyDescent="0.25">
      <c r="A85" s="29" t="s">
        <v>155</v>
      </c>
    </row>
    <row r="86" spans="1:3" x14ac:dyDescent="0.25">
      <c r="A86" t="s">
        <v>128</v>
      </c>
    </row>
    <row r="87" spans="1:3" x14ac:dyDescent="0.25">
      <c r="A87" t="s">
        <v>129</v>
      </c>
    </row>
    <row r="88" spans="1:3" x14ac:dyDescent="0.25">
      <c r="A88" t="s">
        <v>148</v>
      </c>
    </row>
    <row r="90" spans="1:3" x14ac:dyDescent="0.25">
      <c r="A90" t="s">
        <v>130</v>
      </c>
      <c r="B90" t="s">
        <v>131</v>
      </c>
      <c r="C90" t="s">
        <v>132</v>
      </c>
    </row>
    <row r="91" spans="1:3" x14ac:dyDescent="0.25">
      <c r="A91" t="s">
        <v>133</v>
      </c>
      <c r="B91">
        <v>0.42</v>
      </c>
      <c r="C91">
        <v>0.41</v>
      </c>
    </row>
    <row r="92" spans="1:3" x14ac:dyDescent="0.25">
      <c r="A92" t="s">
        <v>134</v>
      </c>
      <c r="B92">
        <v>1.21</v>
      </c>
      <c r="C92">
        <v>1.18</v>
      </c>
    </row>
    <row r="93" spans="1:3" x14ac:dyDescent="0.25">
      <c r="A93" t="s">
        <v>135</v>
      </c>
      <c r="B93">
        <v>0.88</v>
      </c>
      <c r="C93">
        <v>0.79</v>
      </c>
    </row>
    <row r="94" spans="1:3" x14ac:dyDescent="0.25">
      <c r="A94" t="s">
        <v>136</v>
      </c>
      <c r="B94">
        <v>0.72</v>
      </c>
      <c r="C94">
        <v>0.69</v>
      </c>
    </row>
    <row r="95" spans="1:3" x14ac:dyDescent="0.25">
      <c r="A95" t="s">
        <v>137</v>
      </c>
      <c r="B95">
        <v>0.48</v>
      </c>
      <c r="C95">
        <v>0.45</v>
      </c>
    </row>
    <row r="97" spans="1:3" x14ac:dyDescent="0.25">
      <c r="A97" t="s">
        <v>138</v>
      </c>
      <c r="B97" t="s">
        <v>131</v>
      </c>
      <c r="C97" t="s">
        <v>132</v>
      </c>
    </row>
    <row r="98" spans="1:3" x14ac:dyDescent="0.25">
      <c r="A98" t="s">
        <v>133</v>
      </c>
      <c r="B98" s="113">
        <v>4545</v>
      </c>
      <c r="C98" s="114">
        <v>4042</v>
      </c>
    </row>
    <row r="99" spans="1:3" x14ac:dyDescent="0.25">
      <c r="A99" t="s">
        <v>134</v>
      </c>
      <c r="B99" s="113">
        <v>2512048</v>
      </c>
      <c r="C99" s="114">
        <v>1600976</v>
      </c>
    </row>
    <row r="100" spans="1:3" x14ac:dyDescent="0.25">
      <c r="A100" t="s">
        <v>135</v>
      </c>
      <c r="B100" s="113">
        <v>2433080</v>
      </c>
      <c r="C100" s="114">
        <v>1396319</v>
      </c>
    </row>
    <row r="101" spans="1:3" x14ac:dyDescent="0.25">
      <c r="A101" t="s">
        <v>136</v>
      </c>
      <c r="B101" s="113">
        <v>734001</v>
      </c>
      <c r="C101" s="114">
        <v>280063</v>
      </c>
    </row>
    <row r="102" spans="1:3" x14ac:dyDescent="0.25">
      <c r="A102" t="s">
        <v>137</v>
      </c>
      <c r="B102" s="113">
        <v>1400266</v>
      </c>
      <c r="C102" s="114">
        <v>1083308</v>
      </c>
    </row>
    <row r="104" spans="1:3" x14ac:dyDescent="0.25">
      <c r="A104" t="s">
        <v>139</v>
      </c>
      <c r="B104" t="s">
        <v>140</v>
      </c>
    </row>
    <row r="105" spans="1:3" x14ac:dyDescent="0.25">
      <c r="A105">
        <v>0.15</v>
      </c>
      <c r="B105">
        <v>6922</v>
      </c>
    </row>
    <row r="106" spans="1:3" x14ac:dyDescent="0.25">
      <c r="A106">
        <v>0.2</v>
      </c>
      <c r="B106">
        <v>72463</v>
      </c>
    </row>
    <row r="107" spans="1:3" x14ac:dyDescent="0.25">
      <c r="A107">
        <v>0.25</v>
      </c>
      <c r="B107">
        <v>1613886</v>
      </c>
    </row>
    <row r="108" spans="1:3" x14ac:dyDescent="0.25">
      <c r="A108">
        <v>0.3</v>
      </c>
      <c r="B108">
        <v>825768</v>
      </c>
    </row>
    <row r="109" spans="1:3" x14ac:dyDescent="0.25">
      <c r="A109">
        <v>0.35</v>
      </c>
      <c r="B109">
        <v>2654262</v>
      </c>
    </row>
    <row r="110" spans="1:3" x14ac:dyDescent="0.25">
      <c r="A110">
        <v>0.4</v>
      </c>
      <c r="B110">
        <v>427874</v>
      </c>
    </row>
    <row r="111" spans="1:3" x14ac:dyDescent="0.25">
      <c r="A111">
        <v>0.45</v>
      </c>
      <c r="B111">
        <v>229487</v>
      </c>
    </row>
    <row r="112" spans="1:3" x14ac:dyDescent="0.25">
      <c r="A112">
        <v>0.55000000000000004</v>
      </c>
      <c r="B112">
        <v>912659</v>
      </c>
    </row>
    <row r="113" spans="1:2" x14ac:dyDescent="0.25">
      <c r="A113">
        <v>0.6</v>
      </c>
      <c r="B113">
        <v>306730</v>
      </c>
    </row>
    <row r="114" spans="1:2" x14ac:dyDescent="0.25">
      <c r="A114">
        <v>0.65</v>
      </c>
      <c r="B114">
        <v>67755</v>
      </c>
    </row>
    <row r="115" spans="1:2" x14ac:dyDescent="0.25">
      <c r="A115">
        <v>0.7</v>
      </c>
      <c r="B115">
        <v>83405</v>
      </c>
    </row>
    <row r="116" spans="1:2" x14ac:dyDescent="0.25">
      <c r="A116">
        <v>0.75</v>
      </c>
      <c r="B116">
        <v>56586</v>
      </c>
    </row>
    <row r="117" spans="1:2" x14ac:dyDescent="0.25">
      <c r="A117">
        <v>0.8</v>
      </c>
      <c r="B117">
        <v>212225</v>
      </c>
    </row>
    <row r="118" spans="1:2" x14ac:dyDescent="0.25">
      <c r="A118">
        <v>0.85</v>
      </c>
      <c r="B118">
        <v>418145</v>
      </c>
    </row>
    <row r="119" spans="1:2" x14ac:dyDescent="0.25">
      <c r="A119">
        <v>0.9</v>
      </c>
      <c r="B119">
        <v>215318</v>
      </c>
    </row>
    <row r="120" spans="1:2" x14ac:dyDescent="0.25">
      <c r="A120">
        <v>0.95</v>
      </c>
      <c r="B120">
        <v>156102</v>
      </c>
    </row>
    <row r="121" spans="1:2" x14ac:dyDescent="0.25">
      <c r="A121">
        <v>1</v>
      </c>
      <c r="B121">
        <v>69081</v>
      </c>
    </row>
    <row r="122" spans="1:2" x14ac:dyDescent="0.25">
      <c r="A122">
        <v>1.1000000000000001</v>
      </c>
      <c r="B122">
        <v>32392</v>
      </c>
    </row>
    <row r="123" spans="1:2" x14ac:dyDescent="0.25">
      <c r="A123">
        <v>1.45</v>
      </c>
      <c r="B123">
        <v>79614</v>
      </c>
    </row>
    <row r="124" spans="1:2" x14ac:dyDescent="0.25">
      <c r="A124">
        <v>1.6</v>
      </c>
      <c r="B124">
        <v>130617</v>
      </c>
    </row>
    <row r="125" spans="1:2" x14ac:dyDescent="0.25">
      <c r="A125">
        <v>1.75</v>
      </c>
      <c r="B125">
        <v>6469</v>
      </c>
    </row>
    <row r="126" spans="1:2" x14ac:dyDescent="0.25">
      <c r="A126">
        <v>2</v>
      </c>
      <c r="B126">
        <v>3245649</v>
      </c>
    </row>
    <row r="128" spans="1:2" x14ac:dyDescent="0.25">
      <c r="A128" s="54" t="s">
        <v>143</v>
      </c>
      <c r="B128" s="54" t="s">
        <v>144</v>
      </c>
    </row>
    <row r="129" spans="1:2" x14ac:dyDescent="0.25">
      <c r="A129" s="54" t="s">
        <v>145</v>
      </c>
      <c r="B129" s="115">
        <f>SUMPRODUCT(B92:C92,B99:C99)/SUM(B99:C99)</f>
        <v>1.1983226356082533</v>
      </c>
    </row>
    <row r="130" spans="1:2" x14ac:dyDescent="0.25">
      <c r="A130" s="54" t="s">
        <v>146</v>
      </c>
      <c r="B130" s="115">
        <f>SUMPRODUCT(B92:C94,B99:C101)/SUM(B99:C101)</f>
        <v>0.99309655225313243</v>
      </c>
    </row>
    <row r="131" spans="1:2" x14ac:dyDescent="0.25">
      <c r="A131" s="54" t="s">
        <v>147</v>
      </c>
      <c r="B131" s="115">
        <f>SUMPRODUCT(A112:A126,B112:B126)/SUM(B112:B126)</f>
        <v>1.4400589579369862</v>
      </c>
    </row>
    <row r="136" spans="1:2" ht="15.75" x14ac:dyDescent="0.25">
      <c r="A136" s="29" t="s">
        <v>83</v>
      </c>
    </row>
    <row r="138" spans="1:2" ht="30" x14ac:dyDescent="0.25">
      <c r="A138" s="33" t="s">
        <v>84</v>
      </c>
      <c r="B138" s="33" t="s">
        <v>85</v>
      </c>
    </row>
    <row r="139" spans="1:2" x14ac:dyDescent="0.25">
      <c r="A139" s="34" t="s">
        <v>86</v>
      </c>
      <c r="B139" s="34">
        <f>B36</f>
        <v>2</v>
      </c>
    </row>
    <row r="140" spans="1:2" x14ac:dyDescent="0.25">
      <c r="A140" s="34" t="s">
        <v>87</v>
      </c>
      <c r="B140" s="34">
        <f>B83</f>
        <v>0.53934170069055898</v>
      </c>
    </row>
    <row r="141" spans="1:2" x14ac:dyDescent="0.25">
      <c r="A141" s="34" t="s">
        <v>152</v>
      </c>
      <c r="B141" s="34">
        <f>B129</f>
        <v>1.1983226356082533</v>
      </c>
    </row>
    <row r="142" spans="1:2" x14ac:dyDescent="0.25">
      <c r="A142" s="34" t="s">
        <v>88</v>
      </c>
      <c r="B142" s="34">
        <f>B141</f>
        <v>1.1983226356082533</v>
      </c>
    </row>
  </sheetData>
  <mergeCells count="2">
    <mergeCell ref="A32:E32"/>
    <mergeCell ref="B34:E34"/>
  </mergeCells>
  <hyperlinks>
    <hyperlink ref="A42" r:id="rId1" xr:uid="{C3C290EC-EFDF-476A-BF54-6D1760E7B7A5}"/>
  </hyperlinks>
  <pageMargins left="0.7" right="0.7" top="0.75" bottom="0.75" header="0.3" footer="0.3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6A0EC-B30E-4F1D-8A39-1F4170264012}">
  <dimension ref="A1:L35"/>
  <sheetViews>
    <sheetView zoomScale="60" zoomScaleNormal="60" workbookViewId="0">
      <selection activeCell="A2" sqref="A2:D6"/>
    </sheetView>
  </sheetViews>
  <sheetFormatPr baseColWidth="10" defaultRowHeight="15" x14ac:dyDescent="0.25"/>
  <cols>
    <col min="1" max="1" width="19.28515625" customWidth="1"/>
    <col min="2" max="2" width="16.85546875" customWidth="1"/>
    <col min="3" max="3" width="57.42578125" customWidth="1"/>
    <col min="4" max="5" width="50.28515625" customWidth="1"/>
    <col min="6" max="6" width="44.85546875" customWidth="1"/>
    <col min="7" max="8" width="35.5703125" customWidth="1"/>
    <col min="9" max="9" width="17.85546875" customWidth="1"/>
    <col min="12" max="12" width="14" customWidth="1"/>
    <col min="14" max="14" width="17.5703125" customWidth="1"/>
  </cols>
  <sheetData>
    <row r="1" spans="1:12" ht="15.75" thickBot="1" x14ac:dyDescent="0.3"/>
    <row r="2" spans="1:12" ht="62.25" customHeight="1" thickBot="1" x14ac:dyDescent="0.3">
      <c r="A2" s="46"/>
      <c r="B2" s="75"/>
      <c r="C2" s="76" t="s">
        <v>90</v>
      </c>
      <c r="D2" s="105" t="s">
        <v>125</v>
      </c>
      <c r="E2" s="105" t="s">
        <v>124</v>
      </c>
      <c r="F2" s="48" t="s">
        <v>77</v>
      </c>
      <c r="G2" s="40" t="s">
        <v>91</v>
      </c>
      <c r="H2" s="53" t="s">
        <v>95</v>
      </c>
      <c r="I2" s="102" t="s">
        <v>78</v>
      </c>
      <c r="J2" s="103">
        <v>3</v>
      </c>
      <c r="K2" s="104" t="s">
        <v>89</v>
      </c>
    </row>
    <row r="3" spans="1:12" ht="50.25" customHeight="1" x14ac:dyDescent="0.25">
      <c r="A3" s="130" t="s">
        <v>111</v>
      </c>
      <c r="B3" s="39"/>
      <c r="C3" s="39" t="s">
        <v>94</v>
      </c>
      <c r="D3" s="44">
        <f>8*0.008+0.05</f>
        <v>0.114</v>
      </c>
      <c r="E3" s="44"/>
      <c r="F3" s="41">
        <f>1/(1/'U initial'!$B$142+Ufinal!$J$2)+Ufinal!D3</f>
        <v>0.37479020787684342</v>
      </c>
      <c r="G3" s="42"/>
      <c r="H3" s="43">
        <f>$D$32-F3</f>
        <v>1.6252097921231565</v>
      </c>
      <c r="I3" s="51"/>
    </row>
    <row r="4" spans="1:12" ht="46.5" customHeight="1" x14ac:dyDescent="0.25">
      <c r="A4" s="131"/>
      <c r="B4" s="39"/>
      <c r="C4" s="39" t="s">
        <v>97</v>
      </c>
      <c r="D4" s="44">
        <v>0.05</v>
      </c>
      <c r="E4" s="44"/>
      <c r="F4" s="41">
        <f>1/(1/'U initial'!$B$142+Ufinal!$J$2)+Ufinal!D4</f>
        <v>0.31079020787684342</v>
      </c>
      <c r="G4" s="42"/>
      <c r="H4" s="43">
        <f>$D$32-F4</f>
        <v>1.6892097921231566</v>
      </c>
      <c r="I4" s="51"/>
    </row>
    <row r="5" spans="1:12" ht="46.5" customHeight="1" x14ac:dyDescent="0.25">
      <c r="A5" s="131"/>
      <c r="B5" s="39"/>
      <c r="C5" s="39" t="s">
        <v>118</v>
      </c>
      <c r="D5" s="44">
        <f>D3+D4</f>
        <v>0.16400000000000001</v>
      </c>
      <c r="E5" s="44"/>
      <c r="F5" s="41">
        <f>1/(1/'U initial'!$B$142+Ufinal!$J$2)+Ufinal!D5</f>
        <v>0.42479020787684341</v>
      </c>
      <c r="G5" s="42"/>
      <c r="H5" s="43">
        <f>$D$32-F5</f>
        <v>1.5752097921231565</v>
      </c>
      <c r="I5" s="51"/>
    </row>
    <row r="6" spans="1:12" ht="46.5" customHeight="1" thickBot="1" x14ac:dyDescent="0.3">
      <c r="A6" s="132"/>
      <c r="B6" s="39"/>
      <c r="C6" s="39" t="s">
        <v>114</v>
      </c>
      <c r="D6" s="79">
        <v>0</v>
      </c>
      <c r="E6" s="44"/>
      <c r="F6" s="41">
        <f>1/(1/'U initial'!$B$142+Ufinal!$J$2)+Ufinal!D6</f>
        <v>0.26079020787684343</v>
      </c>
      <c r="G6" s="42"/>
      <c r="H6" s="43">
        <f>$D$32-F6</f>
        <v>1.7392097921231566</v>
      </c>
      <c r="I6" s="51"/>
    </row>
    <row r="7" spans="1:12" s="14" customFormat="1" ht="46.5" customHeight="1" thickBot="1" x14ac:dyDescent="0.3">
      <c r="A7" s="49"/>
      <c r="B7" s="49"/>
      <c r="C7" s="49"/>
      <c r="D7" s="95" t="s">
        <v>116</v>
      </c>
      <c r="E7" s="81"/>
      <c r="F7" s="50"/>
      <c r="G7" s="27"/>
      <c r="H7" s="82"/>
      <c r="I7" s="83"/>
    </row>
    <row r="8" spans="1:12" ht="53.25" customHeight="1" x14ac:dyDescent="0.25">
      <c r="A8" s="128" t="s">
        <v>104</v>
      </c>
      <c r="B8" s="128" t="s">
        <v>110</v>
      </c>
      <c r="C8" s="39" t="s">
        <v>99</v>
      </c>
      <c r="D8" s="94">
        <f>$D$3</f>
        <v>0.114</v>
      </c>
      <c r="E8" s="45">
        <f>(G29*$D$31)/$D$29</f>
        <v>0.15125</v>
      </c>
      <c r="F8" s="41">
        <f>1/(1/'U initial'!$B$142+Ufinal!$J$2)+Ufinal!D8+E8</f>
        <v>0.52604020787684336</v>
      </c>
      <c r="G8" s="42"/>
      <c r="H8" s="43">
        <f>$D$32-F8</f>
        <v>1.4739597921231566</v>
      </c>
      <c r="K8" s="96" t="s">
        <v>120</v>
      </c>
      <c r="L8" s="97">
        <f>AVERAGE(F8,F13,F18,F23)</f>
        <v>0.49404020787684344</v>
      </c>
    </row>
    <row r="9" spans="1:12" ht="52.5" customHeight="1" x14ac:dyDescent="0.25">
      <c r="A9" s="128"/>
      <c r="B9" s="128"/>
      <c r="C9" s="39" t="s">
        <v>100</v>
      </c>
      <c r="D9" s="44">
        <f t="shared" ref="D9:D11" si="0">$D$3</f>
        <v>0.114</v>
      </c>
      <c r="E9" s="45">
        <f>(G30*$D$31)/$D$29</f>
        <v>7.3749999999999996E-2</v>
      </c>
      <c r="F9" s="41">
        <f>1/(1/'U initial'!$B$142+Ufinal!$J$2)+Ufinal!D9+E9</f>
        <v>0.4485402078768434</v>
      </c>
      <c r="G9" s="54"/>
      <c r="H9" s="43">
        <f>$D$32-F9</f>
        <v>1.5514597921231565</v>
      </c>
      <c r="I9" s="47"/>
      <c r="K9" s="98" t="s">
        <v>121</v>
      </c>
      <c r="L9" s="99">
        <f>AVERAGE(F9,F14,F19,F24)</f>
        <v>0.41654020787684343</v>
      </c>
    </row>
    <row r="10" spans="1:12" ht="48.75" customHeight="1" x14ac:dyDescent="0.25">
      <c r="A10" s="128"/>
      <c r="B10" s="129" t="s">
        <v>105</v>
      </c>
      <c r="C10" s="39" t="s">
        <v>106</v>
      </c>
      <c r="D10" s="44">
        <f t="shared" si="0"/>
        <v>0.114</v>
      </c>
      <c r="E10" s="45">
        <f>(G31*$D$31)/$D$29</f>
        <v>0.12</v>
      </c>
      <c r="F10" s="41">
        <f>1/(1/'U initial'!$B$142+Ufinal!$J$2)+Ufinal!D10+E10</f>
        <v>0.49479020787684341</v>
      </c>
      <c r="G10" s="54"/>
      <c r="H10" s="43">
        <f>$D$32-F10</f>
        <v>1.5052097921231566</v>
      </c>
      <c r="I10" s="47"/>
      <c r="K10" s="98" t="s">
        <v>123</v>
      </c>
      <c r="L10" s="99">
        <f t="shared" ref="L10:L11" si="1">AVERAGE(F10,F15,F20,F25)</f>
        <v>0.46279020787684344</v>
      </c>
    </row>
    <row r="11" spans="1:12" ht="46.5" customHeight="1" thickBot="1" x14ac:dyDescent="0.3">
      <c r="A11" s="128"/>
      <c r="B11" s="129"/>
      <c r="C11" s="39" t="s">
        <v>107</v>
      </c>
      <c r="D11" s="79">
        <f t="shared" si="0"/>
        <v>0.114</v>
      </c>
      <c r="E11" s="45">
        <f>(G32*$D$31)/$D$29</f>
        <v>6.25E-2</v>
      </c>
      <c r="F11" s="41">
        <f>1/(1/'U initial'!$B$142+Ufinal!$J$2)+Ufinal!D11+E11</f>
        <v>0.43729020787684342</v>
      </c>
      <c r="G11" s="54"/>
      <c r="H11" s="43">
        <f>$D$32-F11</f>
        <v>1.5627097921231565</v>
      </c>
      <c r="I11" s="47"/>
      <c r="K11" s="100" t="s">
        <v>122</v>
      </c>
      <c r="L11" s="101">
        <f t="shared" si="1"/>
        <v>0.40529020787684344</v>
      </c>
    </row>
    <row r="12" spans="1:12" ht="46.5" customHeight="1" thickBot="1" x14ac:dyDescent="0.3">
      <c r="A12" s="14"/>
      <c r="B12" s="14"/>
      <c r="C12" s="14"/>
      <c r="D12" s="92" t="s">
        <v>117</v>
      </c>
      <c r="E12" s="61"/>
      <c r="F12" s="62"/>
      <c r="G12" s="14"/>
      <c r="H12" s="14"/>
      <c r="I12" s="47"/>
    </row>
    <row r="13" spans="1:12" ht="46.5" customHeight="1" x14ac:dyDescent="0.25">
      <c r="A13" s="128" t="s">
        <v>104</v>
      </c>
      <c r="B13" s="128" t="s">
        <v>110</v>
      </c>
      <c r="C13" s="39" t="s">
        <v>99</v>
      </c>
      <c r="D13" s="80">
        <f>$D$4</f>
        <v>0.05</v>
      </c>
      <c r="E13" s="45">
        <f>(G29*$D$31)/$D$29</f>
        <v>0.15125</v>
      </c>
      <c r="F13" s="41">
        <f>1/(1/'U initial'!$B$142+Ufinal!$J$2)+Ufinal!D13+E13</f>
        <v>0.46204020787684341</v>
      </c>
      <c r="G13" s="42"/>
      <c r="H13" s="43">
        <f>$D$32-F13</f>
        <v>1.5379597921231567</v>
      </c>
      <c r="I13" s="47"/>
    </row>
    <row r="14" spans="1:12" ht="46.5" customHeight="1" x14ac:dyDescent="0.25">
      <c r="A14" s="128"/>
      <c r="B14" s="128"/>
      <c r="C14" s="39" t="s">
        <v>100</v>
      </c>
      <c r="D14" s="45">
        <f t="shared" ref="D14:D16" si="2">$D$4</f>
        <v>0.05</v>
      </c>
      <c r="E14" s="45">
        <f t="shared" ref="E14:E16" si="3">(G30*$D$31)/$D$29</f>
        <v>7.3749999999999996E-2</v>
      </c>
      <c r="F14" s="41">
        <f>1/(1/'U initial'!$B$142+Ufinal!$J$2)+Ufinal!D14+E14</f>
        <v>0.3845402078768434</v>
      </c>
      <c r="G14" s="54"/>
      <c r="H14" s="43">
        <f>$D$32-F14</f>
        <v>1.6154597921231566</v>
      </c>
      <c r="I14" s="47"/>
    </row>
    <row r="15" spans="1:12" ht="46.5" customHeight="1" x14ac:dyDescent="0.25">
      <c r="A15" s="128"/>
      <c r="B15" s="129" t="s">
        <v>105</v>
      </c>
      <c r="C15" s="39" t="s">
        <v>106</v>
      </c>
      <c r="D15" s="45">
        <f t="shared" si="2"/>
        <v>0.05</v>
      </c>
      <c r="E15" s="45">
        <f t="shared" si="3"/>
        <v>0.12</v>
      </c>
      <c r="F15" s="41">
        <f>1/(1/'U initial'!$B$142+Ufinal!$J$2)+Ufinal!D15+E15</f>
        <v>0.43079020787684341</v>
      </c>
      <c r="G15" s="54"/>
      <c r="H15" s="43">
        <f>$D$32-F15</f>
        <v>1.5692097921231567</v>
      </c>
      <c r="I15" s="47"/>
    </row>
    <row r="16" spans="1:12" ht="46.5" customHeight="1" thickBot="1" x14ac:dyDescent="0.3">
      <c r="A16" s="128"/>
      <c r="B16" s="129"/>
      <c r="C16" s="39" t="s">
        <v>107</v>
      </c>
      <c r="D16" s="90">
        <f t="shared" si="2"/>
        <v>0.05</v>
      </c>
      <c r="E16" s="45">
        <f t="shared" si="3"/>
        <v>6.25E-2</v>
      </c>
      <c r="F16" s="41">
        <f>1/(1/'U initial'!$B$142+Ufinal!$J$2)+Ufinal!D16+E16</f>
        <v>0.37329020787684342</v>
      </c>
      <c r="G16" s="54"/>
      <c r="H16" s="43">
        <f>$D$32-F16</f>
        <v>1.6267097921231566</v>
      </c>
      <c r="I16" s="47"/>
    </row>
    <row r="17" spans="1:9" ht="46.5" customHeight="1" thickBot="1" x14ac:dyDescent="0.3">
      <c r="A17" s="14"/>
      <c r="B17" s="14"/>
      <c r="C17" s="14"/>
      <c r="D17" s="93" t="s">
        <v>119</v>
      </c>
      <c r="E17" s="61"/>
      <c r="F17" s="62"/>
      <c r="G17" s="14"/>
      <c r="H17" s="14"/>
      <c r="I17" s="47"/>
    </row>
    <row r="18" spans="1:9" ht="46.5" customHeight="1" x14ac:dyDescent="0.25">
      <c r="A18" s="128" t="s">
        <v>104</v>
      </c>
      <c r="B18" s="128" t="s">
        <v>110</v>
      </c>
      <c r="C18" s="39" t="s">
        <v>99</v>
      </c>
      <c r="D18" s="80">
        <f>$D$5</f>
        <v>0.16400000000000001</v>
      </c>
      <c r="E18" s="45">
        <f>(G29*$D$31)/$D$29</f>
        <v>0.15125</v>
      </c>
      <c r="F18" s="41">
        <f>1/(1/'U initial'!$B$142+Ufinal!$J$2)+Ufinal!D18+E18</f>
        <v>0.5760402078768434</v>
      </c>
      <c r="G18" s="42"/>
      <c r="H18" s="43">
        <f>$D$32-F18</f>
        <v>1.4239597921231566</v>
      </c>
      <c r="I18" s="47"/>
    </row>
    <row r="19" spans="1:9" ht="46.5" customHeight="1" x14ac:dyDescent="0.25">
      <c r="A19" s="128"/>
      <c r="B19" s="128"/>
      <c r="C19" s="39" t="s">
        <v>100</v>
      </c>
      <c r="D19" s="45">
        <f t="shared" ref="D19:D21" si="4">$D$5</f>
        <v>0.16400000000000001</v>
      </c>
      <c r="E19" s="45">
        <f t="shared" ref="E19:E21" si="5">(G30*$D$31)/$D$29</f>
        <v>7.3749999999999996E-2</v>
      </c>
      <c r="F19" s="41">
        <f>1/(1/'U initial'!$B$142+Ufinal!$J$2)+Ufinal!D19+E19</f>
        <v>0.49854020787684339</v>
      </c>
      <c r="G19" s="54"/>
      <c r="H19" s="43">
        <f>$D$32-F19</f>
        <v>1.5014597921231565</v>
      </c>
      <c r="I19" s="47"/>
    </row>
    <row r="20" spans="1:9" ht="46.5" customHeight="1" x14ac:dyDescent="0.25">
      <c r="A20" s="128"/>
      <c r="B20" s="129" t="s">
        <v>105</v>
      </c>
      <c r="C20" s="39" t="s">
        <v>106</v>
      </c>
      <c r="D20" s="45">
        <f t="shared" si="4"/>
        <v>0.16400000000000001</v>
      </c>
      <c r="E20" s="45">
        <f t="shared" si="5"/>
        <v>0.12</v>
      </c>
      <c r="F20" s="41">
        <f>1/(1/'U initial'!$B$142+Ufinal!$J$2)+Ufinal!D20+E20</f>
        <v>0.5447902078768434</v>
      </c>
      <c r="G20" s="54"/>
      <c r="H20" s="43">
        <f>$D$32-F20</f>
        <v>1.4552097921231566</v>
      </c>
      <c r="I20" s="47"/>
    </row>
    <row r="21" spans="1:9" ht="46.5" customHeight="1" thickBot="1" x14ac:dyDescent="0.3">
      <c r="A21" s="128"/>
      <c r="B21" s="129"/>
      <c r="C21" s="39" t="s">
        <v>107</v>
      </c>
      <c r="D21" s="90">
        <f t="shared" si="4"/>
        <v>0.16400000000000001</v>
      </c>
      <c r="E21" s="45">
        <f t="shared" si="5"/>
        <v>6.25E-2</v>
      </c>
      <c r="F21" s="41">
        <f>1/(1/'U initial'!$B$142+Ufinal!$J$2)+Ufinal!D21+E21</f>
        <v>0.48729020787684341</v>
      </c>
      <c r="G21" s="54"/>
      <c r="H21" s="43">
        <f>$D$32-F21</f>
        <v>1.5127097921231565</v>
      </c>
      <c r="I21" s="47"/>
    </row>
    <row r="22" spans="1:9" ht="46.5" customHeight="1" thickBot="1" x14ac:dyDescent="0.3">
      <c r="A22" s="49"/>
      <c r="B22" s="84"/>
      <c r="C22" s="85"/>
      <c r="D22" s="91" t="s">
        <v>115</v>
      </c>
      <c r="E22" s="87"/>
      <c r="F22" s="88"/>
      <c r="G22" s="65"/>
      <c r="H22" s="89"/>
      <c r="I22" s="47"/>
    </row>
    <row r="23" spans="1:9" ht="46.5" customHeight="1" x14ac:dyDescent="0.25">
      <c r="A23" s="128" t="s">
        <v>104</v>
      </c>
      <c r="B23" s="128" t="s">
        <v>110</v>
      </c>
      <c r="C23" s="39" t="s">
        <v>99</v>
      </c>
      <c r="D23" s="80">
        <f>$D$6</f>
        <v>0</v>
      </c>
      <c r="E23" s="45">
        <f>(G29*$D$31)/$D$29</f>
        <v>0.15125</v>
      </c>
      <c r="F23" s="41">
        <f>1/(1/'U initial'!$B$142+Ufinal!$J$2)+Ufinal!D23+E23</f>
        <v>0.41204020787684342</v>
      </c>
      <c r="G23" s="42"/>
      <c r="H23" s="43">
        <f>$D$32-F23</f>
        <v>1.5879597921231565</v>
      </c>
      <c r="I23" s="47"/>
    </row>
    <row r="24" spans="1:9" ht="46.5" customHeight="1" x14ac:dyDescent="0.25">
      <c r="A24" s="128"/>
      <c r="B24" s="128"/>
      <c r="C24" s="39" t="s">
        <v>100</v>
      </c>
      <c r="D24" s="45">
        <f t="shared" ref="D24:D26" si="6">$D$6</f>
        <v>0</v>
      </c>
      <c r="E24" s="45">
        <f t="shared" ref="E24:E26" si="7">(G30*$D$31)/$D$29</f>
        <v>7.3749999999999996E-2</v>
      </c>
      <c r="F24" s="41">
        <f>1/(1/'U initial'!$B$142+Ufinal!$J$2)+Ufinal!D24+E24</f>
        <v>0.33454020787684341</v>
      </c>
      <c r="G24" s="54"/>
      <c r="H24" s="43">
        <f>$D$32-F24</f>
        <v>1.6654597921231566</v>
      </c>
      <c r="I24" s="47"/>
    </row>
    <row r="25" spans="1:9" ht="46.5" customHeight="1" x14ac:dyDescent="0.25">
      <c r="A25" s="128"/>
      <c r="B25" s="129" t="s">
        <v>105</v>
      </c>
      <c r="C25" s="39" t="s">
        <v>106</v>
      </c>
      <c r="D25" s="45">
        <f t="shared" si="6"/>
        <v>0</v>
      </c>
      <c r="E25" s="45">
        <f t="shared" si="7"/>
        <v>0.12</v>
      </c>
      <c r="F25" s="41">
        <f>1/(1/'U initial'!$B$142+Ufinal!$J$2)+Ufinal!D25+E25</f>
        <v>0.38079020787684342</v>
      </c>
      <c r="G25" s="54"/>
      <c r="H25" s="43">
        <f>$D$32-F25</f>
        <v>1.6192097921231565</v>
      </c>
      <c r="I25" s="47"/>
    </row>
    <row r="26" spans="1:9" ht="46.5" customHeight="1" x14ac:dyDescent="0.25">
      <c r="A26" s="128"/>
      <c r="B26" s="129"/>
      <c r="C26" s="39" t="s">
        <v>107</v>
      </c>
      <c r="D26" s="45">
        <f t="shared" si="6"/>
        <v>0</v>
      </c>
      <c r="E26" s="45">
        <f t="shared" si="7"/>
        <v>6.25E-2</v>
      </c>
      <c r="F26" s="41">
        <f>1/(1/'U initial'!$B$142+Ufinal!$J$2)+Ufinal!D26+E26</f>
        <v>0.32329020787684343</v>
      </c>
      <c r="G26" s="54"/>
      <c r="H26" s="43">
        <f>$D$32-F26</f>
        <v>1.6767097921231566</v>
      </c>
      <c r="I26" s="47"/>
    </row>
    <row r="27" spans="1:9" ht="46.5" customHeight="1" x14ac:dyDescent="0.25">
      <c r="A27" s="49"/>
      <c r="B27" s="84"/>
      <c r="C27" s="85"/>
      <c r="D27" s="86"/>
      <c r="E27" s="87"/>
      <c r="F27" s="88"/>
      <c r="G27" s="65"/>
      <c r="H27" s="89"/>
      <c r="I27" s="47"/>
    </row>
    <row r="28" spans="1:9" ht="46.5" customHeight="1" thickBot="1" x14ac:dyDescent="0.3">
      <c r="A28" s="49"/>
      <c r="B28" s="84"/>
      <c r="C28" s="85"/>
      <c r="D28" s="86"/>
      <c r="E28" s="87"/>
      <c r="F28" s="88"/>
      <c r="G28" s="65"/>
      <c r="H28" s="89"/>
      <c r="I28" s="47"/>
    </row>
    <row r="29" spans="1:9" ht="46.5" customHeight="1" x14ac:dyDescent="0.25">
      <c r="A29" s="14"/>
      <c r="B29" s="14"/>
      <c r="C29" s="73" t="s">
        <v>92</v>
      </c>
      <c r="D29" s="56">
        <f>D30*D31</f>
        <v>80</v>
      </c>
      <c r="E29" s="50"/>
      <c r="F29" s="67" t="s">
        <v>102</v>
      </c>
      <c r="G29" s="55">
        <v>1.21</v>
      </c>
      <c r="H29" s="68" t="s">
        <v>103</v>
      </c>
    </row>
    <row r="30" spans="1:9" ht="46.5" customHeight="1" x14ac:dyDescent="0.25">
      <c r="A30" s="14"/>
      <c r="B30" s="14"/>
      <c r="C30" s="74" t="s">
        <v>112</v>
      </c>
      <c r="D30" s="63">
        <v>8</v>
      </c>
      <c r="E30" s="50"/>
      <c r="F30" s="69" t="s">
        <v>101</v>
      </c>
      <c r="G30" s="54">
        <v>0.59</v>
      </c>
      <c r="H30" s="70" t="s">
        <v>103</v>
      </c>
    </row>
    <row r="31" spans="1:9" ht="46.5" customHeight="1" x14ac:dyDescent="0.25">
      <c r="A31" s="14"/>
      <c r="B31" s="14"/>
      <c r="C31" s="74" t="s">
        <v>113</v>
      </c>
      <c r="D31" s="63">
        <v>10</v>
      </c>
      <c r="E31" s="50"/>
      <c r="F31" s="69" t="s">
        <v>108</v>
      </c>
      <c r="G31" s="54">
        <v>0.96</v>
      </c>
      <c r="H31" s="70" t="s">
        <v>103</v>
      </c>
    </row>
    <row r="32" spans="1:9" ht="16.5" customHeight="1" thickBot="1" x14ac:dyDescent="0.3">
      <c r="C32" s="64" t="s">
        <v>93</v>
      </c>
      <c r="D32" s="66">
        <v>2</v>
      </c>
      <c r="E32" s="36"/>
      <c r="F32" s="71" t="s">
        <v>109</v>
      </c>
      <c r="G32" s="58">
        <v>0.5</v>
      </c>
      <c r="H32" s="72" t="s">
        <v>103</v>
      </c>
    </row>
    <row r="33" spans="3:5" ht="21" customHeight="1" x14ac:dyDescent="0.25">
      <c r="C33" s="77" t="s">
        <v>98</v>
      </c>
      <c r="D33" s="78">
        <f>1/(1/'U initial'!$B$142+Ufinal!$J$2)</f>
        <v>0.26079020787684343</v>
      </c>
      <c r="E33" s="50"/>
    </row>
    <row r="34" spans="3:5" ht="20.25" customHeight="1" thickBot="1" x14ac:dyDescent="0.3">
      <c r="C34" s="57" t="s">
        <v>96</v>
      </c>
      <c r="D34" s="59">
        <f>D32-D33</f>
        <v>1.7392097921231566</v>
      </c>
      <c r="E34" s="60"/>
    </row>
    <row r="35" spans="3:5" ht="31.5" customHeight="1" x14ac:dyDescent="0.25">
      <c r="C35" s="52"/>
    </row>
  </sheetData>
  <mergeCells count="13">
    <mergeCell ref="A18:A21"/>
    <mergeCell ref="B18:B19"/>
    <mergeCell ref="B20:B21"/>
    <mergeCell ref="A23:A26"/>
    <mergeCell ref="B23:B24"/>
    <mergeCell ref="B25:B26"/>
    <mergeCell ref="A8:A11"/>
    <mergeCell ref="B8:B9"/>
    <mergeCell ref="B10:B11"/>
    <mergeCell ref="A3:A6"/>
    <mergeCell ref="A13:A16"/>
    <mergeCell ref="B13:B14"/>
    <mergeCell ref="B15:B16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workbookViewId="0">
      <selection activeCell="C9" sqref="C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23663.889571775369</v>
      </c>
      <c r="G5" s="19">
        <f>C9*C11*24*0.7/C14</f>
        <v>37467.825155311002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23.663889571775368</v>
      </c>
      <c r="G6" s="21">
        <f>G5/1000</f>
        <v>37.467825155311004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Ufinal!L8</f>
        <v>0.49404020787684344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0.70428242773140981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468.12852906468913</v>
      </c>
      <c r="H10" s="23">
        <f>G6*C17*C19</f>
        <v>741.2035043524246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383.01425105292748</v>
      </c>
      <c r="H11" s="24">
        <f>G6*C17*C20</f>
        <v>606.43923083380196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255.34283403528497</v>
      </c>
      <c r="H12" s="25">
        <f>G6*C17*C21</f>
        <v>404.29282055586793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656.55026201322653</v>
      </c>
      <c r="H15" s="23">
        <f>ROUNDDOWN(G15,-2)</f>
        <v>600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537.17748710173078</v>
      </c>
      <c r="H16" s="24">
        <f>ROUNDDOWN(G16,-2)</f>
        <v>500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358.1183247344872</v>
      </c>
      <c r="H17" s="25">
        <f>ROUNDUP(G17,-2)</f>
        <v>400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F14:H14"/>
    <mergeCell ref="B1:D1"/>
    <mergeCell ref="B6:D6"/>
    <mergeCell ref="F3:H3"/>
    <mergeCell ref="F8:H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35D65-130D-47A5-8C33-F203D5919DAB}">
  <dimension ref="A1:C5"/>
  <sheetViews>
    <sheetView zoomScaleNormal="100" workbookViewId="0">
      <selection activeCell="B5" sqref="B5"/>
    </sheetView>
  </sheetViews>
  <sheetFormatPr baseColWidth="10" defaultRowHeight="12.75" x14ac:dyDescent="0.2"/>
  <cols>
    <col min="1" max="1" width="19.28515625" style="109" customWidth="1"/>
    <col min="2" max="2" width="16.85546875" style="109" customWidth="1"/>
    <col min="3" max="3" width="57.42578125" style="109" customWidth="1"/>
    <col min="4" max="4" width="50.28515625" style="109" customWidth="1"/>
    <col min="5" max="16384" width="11.42578125" style="109"/>
  </cols>
  <sheetData>
    <row r="1" spans="1:3" ht="26.25" thickBot="1" x14ac:dyDescent="0.25">
      <c r="A1" s="106"/>
      <c r="B1" s="107"/>
      <c r="C1" s="108" t="s">
        <v>126</v>
      </c>
    </row>
    <row r="2" spans="1:3" ht="76.5" x14ac:dyDescent="0.2">
      <c r="A2" s="135" t="s">
        <v>111</v>
      </c>
      <c r="B2" s="110" t="s">
        <v>94</v>
      </c>
      <c r="C2" s="111">
        <f>8*0.008+0.05</f>
        <v>0.114</v>
      </c>
    </row>
    <row r="3" spans="1:3" ht="25.5" x14ac:dyDescent="0.2">
      <c r="A3" s="136"/>
      <c r="B3" s="110" t="s">
        <v>114</v>
      </c>
      <c r="C3" s="112">
        <v>0</v>
      </c>
    </row>
    <row r="5" spans="1:3" x14ac:dyDescent="0.2">
      <c r="A5" s="109" t="s">
        <v>127</v>
      </c>
      <c r="B5" s="109">
        <v>4</v>
      </c>
      <c r="C5" s="109" t="s">
        <v>89</v>
      </c>
    </row>
  </sheetData>
  <mergeCells count="1">
    <mergeCell ref="A2:A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9F90D-FF70-4809-8D4C-AF9BF3149870}">
  <dimension ref="A1:J21"/>
  <sheetViews>
    <sheetView workbookViewId="0">
      <selection activeCell="H18" sqref="H18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29483.193728727587</v>
      </c>
      <c r="G5" s="19">
        <f>C9*C11*24*0.7/C14</f>
        <v>46681.72340381868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29.483193728727588</v>
      </c>
      <c r="G6" s="21">
        <f>G5/1000</f>
        <v>46.68172340381868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1/(1/'Isolant fixé mécaniquement'!C7+'U Final'!B5)+'U Final'!C2</f>
        <v>0.32084663177707512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0.87747600383117819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583.2483316191807</v>
      </c>
      <c r="H10" s="23">
        <f>G6*C17*C19</f>
        <v>923.47652506370287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477.20318041569328</v>
      </c>
      <c r="H11" s="24">
        <f>G6*C17*C20</f>
        <v>755.57170232484771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318.13545361046221</v>
      </c>
      <c r="H12" s="25">
        <f>G6*C17*C21</f>
        <v>503.71446821656514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818.00578509590093</v>
      </c>
      <c r="H15" s="23">
        <f>ROUND(G15,-1)</f>
        <v>820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669.27746053300984</v>
      </c>
      <c r="H16" s="24">
        <f>ROUND(G16,-1)</f>
        <v>670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446.18497368867315</v>
      </c>
      <c r="H17" s="25">
        <f>ROUND(G17,-1)</f>
        <v>450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E603A-D583-4B6A-A0ED-79D86A17504A}">
  <dimension ref="A1:J21"/>
  <sheetViews>
    <sheetView workbookViewId="0">
      <selection activeCell="H18" sqref="H18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33313.593728727581</v>
      </c>
      <c r="G5" s="19">
        <f>C9*C11*24*0.7/C14</f>
        <v>52746.523403818675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33.313593728727582</v>
      </c>
      <c r="G6" s="21">
        <f>G5/1000</f>
        <v>52.746523403818678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1/(1/'Isolant projeté'!C7+'U Final'!B5)+'U Final'!C3</f>
        <v>0.20684663177707513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0.99147600383117807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659.02283657918065</v>
      </c>
      <c r="H10" s="23">
        <f>G6*C17*C19</f>
        <v>1043.4528245837027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539.20050265569319</v>
      </c>
      <c r="H11" s="24">
        <f>G6*C17*C20</f>
        <v>853.7341292048477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359.4670017704621</v>
      </c>
      <c r="H12" s="25">
        <f>G6*C17*C21</f>
        <v>569.15608613656514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924.27952830230083</v>
      </c>
      <c r="H15" s="23">
        <f>ROUND(G15,-1)</f>
        <v>920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756.22870497460985</v>
      </c>
      <c r="H16" s="24">
        <f>ROUND(G16,-1)</f>
        <v>760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504.15246998307316</v>
      </c>
      <c r="H17" s="25">
        <f>ROUND(G17,-1)</f>
        <v>500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EC22F-6E38-4C95-8850-CBA76C0AB521}">
  <dimension ref="A1:J21"/>
  <sheetViews>
    <sheetView tabSelected="1" workbookViewId="0">
      <selection activeCell="H20" sqref="H20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4" t="s">
        <v>21</v>
      </c>
      <c r="C1" s="134"/>
      <c r="D1" s="134"/>
    </row>
    <row r="2" spans="1:10" x14ac:dyDescent="0.25">
      <c r="B2" s="3"/>
      <c r="C2" s="4" t="s">
        <v>4</v>
      </c>
      <c r="D2" s="5"/>
    </row>
    <row r="3" spans="1:10" ht="15.75" thickBot="1" x14ac:dyDescent="0.3">
      <c r="B3" s="6"/>
      <c r="C3" s="7" t="s">
        <v>5</v>
      </c>
      <c r="D3" s="8"/>
      <c r="F3" s="134" t="s">
        <v>22</v>
      </c>
      <c r="G3" s="134"/>
      <c r="H3" s="134"/>
    </row>
    <row r="4" spans="1:10" ht="15.75" thickBot="1" x14ac:dyDescent="0.3">
      <c r="B4" s="9"/>
      <c r="C4" s="10" t="s">
        <v>6</v>
      </c>
      <c r="D4" s="11"/>
      <c r="F4" s="3" t="s">
        <v>9</v>
      </c>
      <c r="G4" s="12" t="s">
        <v>10</v>
      </c>
      <c r="H4" s="5"/>
    </row>
    <row r="5" spans="1:10" x14ac:dyDescent="0.25">
      <c r="C5" s="2"/>
      <c r="F5" s="18">
        <f>C9*C11*24*0.7/C13</f>
        <v>31398.39372872758</v>
      </c>
      <c r="G5" s="19">
        <f>C9*C11*24*0.7/C14</f>
        <v>49714.123403818667</v>
      </c>
      <c r="H5" s="8" t="s">
        <v>11</v>
      </c>
    </row>
    <row r="6" spans="1:10" ht="15.75" thickBot="1" x14ac:dyDescent="0.3">
      <c r="B6" s="134" t="s">
        <v>20</v>
      </c>
      <c r="C6" s="134"/>
      <c r="D6" s="134"/>
      <c r="F6" s="20">
        <f>F5/1000</f>
        <v>31.39839372872758</v>
      </c>
      <c r="G6" s="21">
        <f>G5/1000</f>
        <v>49.714123403818668</v>
      </c>
      <c r="H6" s="11" t="s">
        <v>12</v>
      </c>
    </row>
    <row r="7" spans="1:10" x14ac:dyDescent="0.25">
      <c r="B7" s="3" t="s">
        <v>0</v>
      </c>
      <c r="C7" s="35">
        <f>'U initial'!B142</f>
        <v>1.1983226356082533</v>
      </c>
      <c r="D7" s="5" t="s">
        <v>3</v>
      </c>
    </row>
    <row r="8" spans="1:10" ht="15.75" thickBot="1" x14ac:dyDescent="0.3">
      <c r="B8" s="6" t="s">
        <v>1</v>
      </c>
      <c r="C8" s="13">
        <f>AVERAGE('Isolant fixé mécaniquement'!C8,'Isolant projeté'!C8)</f>
        <v>0.26384663177707512</v>
      </c>
      <c r="D8" s="8" t="s">
        <v>3</v>
      </c>
      <c r="F8" s="133" t="s">
        <v>13</v>
      </c>
      <c r="G8" s="133"/>
      <c r="H8" s="133"/>
    </row>
    <row r="9" spans="1:10" ht="15.75" thickBot="1" x14ac:dyDescent="0.3">
      <c r="B9" s="6" t="s">
        <v>2</v>
      </c>
      <c r="C9" s="13">
        <f>ABS(C8-C7)</f>
        <v>0.93447600383117813</v>
      </c>
      <c r="D9" s="8" t="s">
        <v>3</v>
      </c>
      <c r="G9" s="3" t="s">
        <v>9</v>
      </c>
      <c r="H9" s="12" t="s">
        <v>10</v>
      </c>
    </row>
    <row r="10" spans="1:10" x14ac:dyDescent="0.25">
      <c r="B10" s="6"/>
      <c r="C10" s="14"/>
      <c r="D10" s="8"/>
      <c r="F10" s="3" t="s">
        <v>17</v>
      </c>
      <c r="G10" s="22">
        <f>F6*C17*C19</f>
        <v>621.13558409918051</v>
      </c>
      <c r="H10" s="23">
        <f>G6*C17*C19</f>
        <v>983.46467482370258</v>
      </c>
    </row>
    <row r="11" spans="1:10" x14ac:dyDescent="0.25">
      <c r="A11" s="17"/>
      <c r="B11" s="6" t="s">
        <v>7</v>
      </c>
      <c r="C11" s="14">
        <v>1900</v>
      </c>
      <c r="D11" s="8" t="s">
        <v>8</v>
      </c>
      <c r="F11" s="6" t="s">
        <v>18</v>
      </c>
      <c r="G11" s="19">
        <f>F6*C17*C20</f>
        <v>508.20184153569312</v>
      </c>
      <c r="H11" s="24">
        <f>G6*C17*C20</f>
        <v>804.65291576484753</v>
      </c>
    </row>
    <row r="12" spans="1:10" ht="15.75" thickBot="1" x14ac:dyDescent="0.3">
      <c r="B12" s="6"/>
      <c r="C12" s="14"/>
      <c r="D12" s="8"/>
      <c r="F12" s="9" t="s">
        <v>19</v>
      </c>
      <c r="G12" s="21">
        <f>F6*C17*C21</f>
        <v>338.8012276904621</v>
      </c>
      <c r="H12" s="25">
        <f>G6*C17*C21</f>
        <v>536.43527717656502</v>
      </c>
    </row>
    <row r="13" spans="1:10" x14ac:dyDescent="0.25">
      <c r="B13" s="6" t="s">
        <v>23</v>
      </c>
      <c r="C13" s="16">
        <v>0.95</v>
      </c>
      <c r="D13" s="8"/>
      <c r="J13" s="1"/>
    </row>
    <row r="14" spans="1:10" ht="15.75" thickBot="1" x14ac:dyDescent="0.3">
      <c r="B14" s="6" t="s">
        <v>24</v>
      </c>
      <c r="C14" s="16">
        <v>0.6</v>
      </c>
      <c r="D14" s="8"/>
      <c r="F14" s="133" t="s">
        <v>25</v>
      </c>
      <c r="G14" s="133"/>
      <c r="H14" s="133"/>
    </row>
    <row r="15" spans="1:10" x14ac:dyDescent="0.25">
      <c r="B15" s="6"/>
      <c r="C15" s="14"/>
      <c r="D15" s="8"/>
      <c r="F15" s="3" t="s">
        <v>17</v>
      </c>
      <c r="G15" s="22">
        <f>G10*0.31+H10*0.69</f>
        <v>871.1426566991006</v>
      </c>
      <c r="H15" s="23">
        <f>ROUND(G15,-1)</f>
        <v>870</v>
      </c>
    </row>
    <row r="16" spans="1:10" x14ac:dyDescent="0.25">
      <c r="B16" s="6" t="s">
        <v>14</v>
      </c>
      <c r="C16" s="14">
        <v>30</v>
      </c>
      <c r="D16" s="8" t="s">
        <v>15</v>
      </c>
      <c r="F16" s="6" t="s">
        <v>18</v>
      </c>
      <c r="G16" s="19">
        <f t="shared" ref="G16:G17" si="0">G11*0.31+H11*0.69</f>
        <v>712.75308275380962</v>
      </c>
      <c r="H16" s="24">
        <f>ROUND(G16,-1)</f>
        <v>710</v>
      </c>
    </row>
    <row r="17" spans="2:8" ht="15.75" thickBot="1" x14ac:dyDescent="0.3">
      <c r="B17" s="6" t="s">
        <v>16</v>
      </c>
      <c r="C17" s="14">
        <v>17.984000000000002</v>
      </c>
      <c r="D17" s="8"/>
      <c r="F17" s="9" t="s">
        <v>19</v>
      </c>
      <c r="G17" s="21">
        <f t="shared" si="0"/>
        <v>475.1687218358731</v>
      </c>
      <c r="H17" s="25">
        <f>ROUND(G17,-1)</f>
        <v>480</v>
      </c>
    </row>
    <row r="18" spans="2:8" x14ac:dyDescent="0.25">
      <c r="B18" s="6"/>
      <c r="C18" s="14"/>
      <c r="D18" s="8"/>
    </row>
    <row r="19" spans="2:8" x14ac:dyDescent="0.25">
      <c r="B19" s="6" t="s">
        <v>17</v>
      </c>
      <c r="C19" s="14">
        <v>1.1000000000000001</v>
      </c>
      <c r="D19" s="8"/>
    </row>
    <row r="20" spans="2:8" x14ac:dyDescent="0.25">
      <c r="B20" s="6" t="s">
        <v>18</v>
      </c>
      <c r="C20" s="14">
        <v>0.9</v>
      </c>
      <c r="D20" s="8"/>
    </row>
    <row r="21" spans="2:8" ht="15.75" thickBot="1" x14ac:dyDescent="0.3">
      <c r="B21" s="9" t="s">
        <v>19</v>
      </c>
      <c r="C21" s="15">
        <v>0.6</v>
      </c>
      <c r="D21" s="11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A E A A B Q S w M E F A A C A A g A w G g F U 2 4 m x n S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q m Z k A n W S j D x O z 8 c 3 M Q 8 g b A e V A s k i C N s 6 l O S W l R a l 2 a U W 6 b k E 2 + j C u j T 7 U C 3 Y A U E s D B B Q A A g A I A M B o B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A a A V T H e O C C 7 k B A A D 0 B w A A E w A c A E Z v c m 1 1 b G F z L 1 N l Y 3 R p b 2 4 x L m 0 g o h g A K K A U A A A A A A A A A A A A A A A A A A A A A A A A A A A A 5 Z T N a t t A F I X 3 B r / D R d n I M B a S m 6 S 0 R Y t U n j b d u K n t b h o V I 4 + u m y n z I + Y n J B g / U P o a f r G O 6 k K 6 s E w a C i V E m x l m z r 2 c c + d D F p n j W s F s t 2 Z v + r 1 + z 1 5 V B m s 4 i i Z a L g 1 C j f C 5 u Y I V V 5 W A m G n Z V M Z x i c r Z A Y R 9 9 + 1 i l G a v I s h B o O v 3 I H w z 7 Q 3 D c F L Y 6 2 S s m W + F 8 T s u M C m 0 c m 1 V H H 1 5 X W b D C 6 O / o 7 O A C l g o s j C l k 4 / l K J t m L 0 8 W 1 P n g q q A U h j B + T 4 v y R Q K h o P a / Y p T H C c y r Z W u c V Y J 5 U d K b R h s H t V Z q e 4 c W x h e 0 f H s 2 h f k 5 Z G l W / p u g C b P X 0 Y B c j l F w y R 2 a P C I R g U I L L 5 X N R w S o Y r r m 6 l t + e p K m G Y F P X j u c u V u B + f 0 2 m W i F X w d k N 7 C j i K q h 2 / 5 w w X V j t P S 2 n W d I F 4 Q h s Q x V 5 1 j V a G y 8 m y 2 B y 9 / n Z 0 L M Q v 7 K 2 N w Z / 2 f L + W 2 D I I O V F d / e 3 f e b m 0 r Z l T Z y Z 7 l V 2 X i P A b J e P 4 S N k P 2 D c q f H S d t o Q 2 A d H Z K 6 1 p P D G 7 f Z D P o 9 r v Z 7 7 Q Z 0 u T j 0 b h 2 3 4 d 1 G 6 R M D 9 P F B n y 2 g H U P Z B 2 i 3 9 H 8 B + u T + o I 8 P + q w A f R h r L Z V / j f J B Q H 8 C U E s B A i 0 A F A A C A A g A w G g F U 2 4 m x n S l A A A A 9 Q A A A B I A A A A A A A A A A A A A A A A A A A A A A E N v b m Z p Z y 9 Q Y W N r Y W d l L n h t b F B L A Q I t A B Q A A g A I A M B o B V M P y u m r p A A A A O k A A A A T A A A A A A A A A A A A A A A A A P E A A A B b Q 2 9 u d G V u d F 9 U e X B l c 1 0 u e G 1 s U E s B A i 0 A F A A C A A g A w G g F U x 3 j g g u 5 A Q A A 9 A c A A B M A A A A A A A A A A A A A A A A A 4 g E A A E Z v c m 1 1 b G F z L 1 N l Y 3 R p b 2 4 x L m 1 Q S w U G A A A A A A M A A w D C A A A A 6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C A A A A A A A A D 2 H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E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g t M D V U M T A 6 N T g 6 M D A u M D c 0 N j A 1 N F o i I C 8 + P E V u d H J 5 I F R 5 c G U 9 I k Z p b G x D b 2 x 1 b W 5 U e X B l c y I g V m F s d W U 9 I n N B d 1 k 9 I i A v P j x F b n R y e S B U e X B l P S J G a W x s Q 2 9 s d W 1 u T m F t Z X M i I F Z h b H V l P S J z W y Z x d W 9 0 O 0 5 v b W J y Z S B k Z S B V c G g g Z m l u Y W w g K G N v b X B h c n R p b W V u d H M p J n F 1 b 3 Q 7 L C Z x d W 9 0 O 1 V w a C B m a W 5 h b C A o Y 2 9 t c G F y d G l t Z W 5 0 c y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b 2 1 i c m U g Z G U g V X B o I G Z p b m F s I C h j b 2 1 w Y X J 0 a W 1 l b n R z K S B w Y X I g V X B o I G Z p b m F s I C h j b 2 1 w Y X J 0 a W 1 l b n R z K V 8 y M D E 5 L 1 R 5 c G U g b W 9 k a W Z p w 6 k u e 0 5 v b W J y Z S B k Z S B V c G g g Z m l u Y W w g K G N v b X B h c n R p b W V u d H M p L D B 9 J n F 1 b 3 Q 7 L C Z x d W 9 0 O 1 N l Y 3 R p b 2 4 x L 0 5 v b W J y Z S B k Z S B V c G g g Z m l u Y W w g K G N v b X B h c n R p b W V u d H M p I H B h c i B V c G g g Z m l u Y W w g K G N v b X B h c n R p b W V u d H M p X z I w M T k v V H l w Z S B t b 2 R p Z m n D q S 5 7 V X B o I G Z p b m F s I C h j b 2 1 w Y X J 0 a W 1 l b n R z K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O b 2 1 i c m U g Z G U g V X B o I G Z p b m F s I C h j b 2 1 w Y X J 0 a W 1 l b n R z K S B w Y X I g V X B o I G Z p b m F s I C h j b 2 1 w Y X J 0 a W 1 l b n R z K V 8 y M D E 5 L 1 R 5 c G U g b W 9 k a W Z p w 6 k u e 0 5 v b W J y Z S B k Z S B V c G g g Z m l u Y W w g K G N v b X B h c n R p b W V u d H M p L D B 9 J n F 1 b 3 Q 7 L C Z x d W 9 0 O 1 N l Y 3 R p b 2 4 x L 0 5 v b W J y Z S B k Z S B V c G g g Z m l u Y W w g K G N v b X B h c n R p b W V u d H M p I H B h c i B V c G g g Z m l u Y W w g K G N v b X B h c n R p b W V u d H M p X z I w M T k v V H l w Z S B t b 2 R p Z m n D q S 5 7 V X B o I G Z p b m F s I C h j b 2 1 w Y X J 0 a W 1 l b n R z K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9 t Y n J l J T I w Z G U l M j B V c G g l M j B m a W 5 h b C U y M C h j b 2 1 w Y X J 0 a W 1 l b n R z K S U y M H B h c i U y M F V w a C U y M G Z p b m F s J T I w K G N v b X B h c n R p b W V u d H M p X z I w M T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t Y n J l J T I w Z G U l M j B V c G g l M j B m a W 5 h b C U y M C h j b 2 1 w Y X J 0 a W 1 l b n R z K S U y M H B h c i U y M F V w a C U y M G Z p b m F s J T I w K G N v b X B h c n R p b W V u d H M p X z I w M T k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E 5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1 i c m U l M j B k Z S U y M F V w Y l 9 m a W 5 h b C U y M C h j b 2 1 w Y X J 0 a W 1 l b n R z K S U y M H B h c i U y M F V w Y l 9 m a W 5 h b C U y M C h j b 2 1 w Y X J 0 a W 1 l b n R z K V 8 y M D I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m 9 t Y n J l X 2 R l X 1 V w Y l 9 m a W 5 h b F 9 f Y 2 9 t c G F y d G l t Z W 5 0 c 1 9 f c G F y X 1 V w Y l 9 m a W 5 h b F 9 f Y 2 9 t c G F y d G l t Z W 5 0 c 1 9 f M j A y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O C 0 w N V Q x M D o 1 O D o 1 N i 4 z N z Q z M j M 5 W i I g L z 4 8 R W 5 0 c n k g V H l w Z T 0 i R m l s b E N v b H V t b l R 5 c G V z I i B W Y W x 1 Z T 0 i c 0 F 3 W T 0 i I C 8 + P E V u d H J 5 I F R 5 c G U 9 I k Z p b G x D b 2 x 1 b W 5 O Y W 1 l c y I g V m F s d W U 9 I n N b J n F 1 b 3 Q 7 T m 9 t Y n J l I G R l I F V w Y l 9 m a W 5 h b C A o Y 2 9 t c G F y d G l t Z W 5 0 c y k m c X V v d D s s J n F 1 b 3 Q 7 V X B i X 2 Z p b m F s I C h j b 2 1 w Y X J 0 a W 1 l b n R z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v b W J y Z S B k Z S B V c G J f Z m l u Y W w g K G N v b X B h c n R p b W V u d H M p I H B h c i B V c G J f Z m l u Y W w g K G N v b X B h c n R p b W V u d H M p X z I w M j A v V H l w Z S B t b 2 R p Z m n D q S 5 7 T m 9 t Y n J l I G R l I F V w Y l 9 m a W 5 h b C A o Y 2 9 t c G F y d G l t Z W 5 0 c y k s M H 0 m c X V v d D s s J n F 1 b 3 Q 7 U 2 V j d G l v b j E v T m 9 t Y n J l I G R l I F V w Y l 9 m a W 5 h b C A o Y 2 9 t c G F y d G l t Z W 5 0 c y k g c G F y I F V w Y l 9 m a W 5 h b C A o Y 2 9 t c G F y d G l t Z W 5 0 c y l f M j A y M C 9 U e X B l I G 1 v Z G l m a c O p L n t V c G J f Z m l u Y W w g K G N v b X B h c n R p b W V u d H M p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5 v b W J y Z S B k Z S B V c G J f Z m l u Y W w g K G N v b X B h c n R p b W V u d H M p I H B h c i B V c G J f Z m l u Y W w g K G N v b X B h c n R p b W V u d H M p X z I w M j A v V H l w Z S B t b 2 R p Z m n D q S 5 7 T m 9 t Y n J l I G R l I F V w Y l 9 m a W 5 h b C A o Y 2 9 t c G F y d G l t Z W 5 0 c y k s M H 0 m c X V v d D s s J n F 1 b 3 Q 7 U 2 V j d G l v b j E v T m 9 t Y n J l I G R l I F V w Y l 9 m a W 5 h b C A o Y 2 9 t c G F y d G l t Z W 5 0 c y k g c G F y I F V w Y l 9 m a W 5 h b C A o Y 2 9 t c G F y d G l t Z W 5 0 c y l f M j A y M C 9 U e X B l I G 1 v Z G l m a c O p L n t V c G J f Z m l u Y W w g K G N v b X B h c n R p b W V u d H M p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b 2 1 i c m U l M j B k Z S U y M F V w Y l 9 m a W 5 h b C U y M C h j b 2 1 w Y X J 0 a W 1 l b n R z K S U y M H B h c i U y M F V w Y l 9 m a W 5 h b C U y M C h j b 2 1 w Y X J 0 a W 1 l b n R z K V 8 y M D I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i X 2 Z p b m F s J T I w K G N v b X B h c n R p b W V u d H M p J T I w c G F y J T I w V X B i X 2 Z p b m F s J T I w K G N v b X B h c n R p b W V u d H M p X z I w M j A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i X 2 Z p b m F s J T I w K G N v b X B h c n R p b W V u d H M p J T I w c G F y J T I w V X B i X 2 Z p b m F s J T I w K G N v b X B h c n R p b W V u d H M p X z I w M j A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i X 2 Z p b m F s J T I w K G N v b X B h c n R p b W V u d H M p J T I w c G F y J T I w V X B i X 2 Z p b m F s J T I w K G N v b X B h c n R p b W V u d H M p X z I w M T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b 2 1 i c m V f Z G V f V X B i X 2 Z p b m F s X 1 9 j b 2 1 w Y X J 0 a W 1 l b n R z X 1 9 w Y X J f V X B i X 2 Z p b m F s X 1 9 j b 2 1 w Y X J 0 a W 1 l b n R z X 1 8 y M D E 5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4 L T A 1 V D E x O j A 2 O j A x L j M w N T k x M z d a I i A v P j x F b n R y e S B U e X B l P S J G a W x s Q 2 9 s d W 1 u V H l w Z X M i I F Z h b H V l P S J z Q m d N P S I g L z 4 8 R W 5 0 c n k g V H l w Z T 0 i R m l s b E N v b H V t b k 5 h b W V z I i B W Y W x 1 Z T 0 i c 1 s m c X V v d D t V c G J f Z m l u Y W w g K G N v b X B h c n R p b W V u d H M p J n F 1 b 3 Q 7 L C Z x d W 9 0 O 0 5 v b W J y Z S B k Z S B V c G J f Z m l u Y W w g K G N v b X B h c n R p b W V u d H M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9 t Y n J l I G R l I F V w Y l 9 m a W 5 h b C A o Y 2 9 t c G F y d G l t Z W 5 0 c y k g c G F y I F V w Y l 9 m a W 5 h b C A o Y 2 9 t c G F y d G l t Z W 5 0 c y l f M j A x O S 9 U e X B l I G 1 v Z G l m a c O p L n t V c G J f Z m l u Y W w g K G N v b X B h c n R p b W V u d H M p L D B 9 J n F 1 b 3 Q 7 L C Z x d W 9 0 O 1 N l Y 3 R p b 2 4 x L 0 5 v b W J y Z S B k Z S B V c G J f Z m l u Y W w g K G N v b X B h c n R p b W V u d H M p I H B h c i B V c G J f Z m l u Y W w g K G N v b X B h c n R p b W V u d H M p X z I w M T k v V H l w Z S B t b 2 R p Z m n D q S 5 7 T m 9 t Y n J l I G R l I F V w Y l 9 m a W 5 h b C A o Y 2 9 t c G F y d G l t Z W 5 0 c y k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m 9 t Y n J l I G R l I F V w Y l 9 m a W 5 h b C A o Y 2 9 t c G F y d G l t Z W 5 0 c y k g c G F y I F V w Y l 9 m a W 5 h b C A o Y 2 9 t c G F y d G l t Z W 5 0 c y l f M j A x O S 9 U e X B l I G 1 v Z G l m a c O p L n t V c G J f Z m l u Y W w g K G N v b X B h c n R p b W V u d H M p L D B 9 J n F 1 b 3 Q 7 L C Z x d W 9 0 O 1 N l Y 3 R p b 2 4 x L 0 5 v b W J y Z S B k Z S B V c G J f Z m l u Y W w g K G N v b X B h c n R p b W V u d H M p I H B h c i B V c G J f Z m l u Y W w g K G N v b X B h c n R p b W V u d H M p X z I w M T k v V H l w Z S B t b 2 R p Z m n D q S 5 7 T m 9 t Y n J l I G R l I F V w Y l 9 m a W 5 h b C A o Y 2 9 t c G F y d G l t Z W 5 0 c y k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v b W J y Z S U y M G R l J T I w V X B i X 2 Z p b m F s J T I w K G N v b X B h c n R p b W V u d H M p J T I w c G F y J T I w V X B i X 2 Z p b m F s J T I w K G N v b X B h c n R p b W V u d H M p X z I w M T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t Y n J l J T I w Z G U l M j B V c G J f Z m l u Y W w l M j A o Y 2 9 t c G F y d G l t Z W 5 0 c y k l M j B w Y X I l M j B V c G J f Z m l u Y W w l M j A o Y 2 9 t c G F y d G l t Z W 5 0 c y l f M j A x O S 9 F b i 1 0 J U M z J U F B d G V z J T I w c H J v b X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t Y n J l J T I w Z G U l M j B V c G J f Z m l u Y W w l M j A o Y 2 9 t c G F y d G l t Z W 5 0 c y k l M j B w Y X I l M j B V c G J f Z m l u Y W w l M j A o Y 2 9 t c G F y d G l t Z W 5 0 c y l f M j A x O S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H Y O O b K p M y p C n w O q 0 x q f S o A A A A A A A g A A A A A A A 2 Y A A M A A A A A Q A A A A S g X J 5 0 / h j a Y + n S e 4 Y s B b U Q A A A A A E g A A A o A A A A B A A A A D 5 h d 1 u 7 R b e H h f B / b c m p G 8 g U A A A A G n Q n l H P R j Q i s 4 Q q a 7 y B K 1 J m p B e J n a h j 7 H j V 0 b 0 K d J O j C g h o W X 2 d n S / o Y 3 / 5 A l y b U T U b v C m v H N L I u a T Q 4 i L 2 8 C I O j s a E r g g y Z t P O g E W v J v p a F A A A A N E l U l y i E v Q q f F v H b e u B u D i 6 N V V 1 < / D a t a M a s h u p > 
</file>

<file path=customXml/itemProps1.xml><?xml version="1.0" encoding="utf-8"?>
<ds:datastoreItem xmlns:ds="http://schemas.openxmlformats.org/officeDocument/2006/customXml" ds:itemID="{5DF0D298-43C1-41AB-9E30-AC1045E19B6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Nombre de Upb_final (compartime</vt:lpstr>
      <vt:lpstr>Nombre de Upb_final (compar (2)</vt:lpstr>
      <vt:lpstr>U initial</vt:lpstr>
      <vt:lpstr>Ufinal</vt:lpstr>
      <vt:lpstr>poutre non isolée</vt:lpstr>
      <vt:lpstr>U Final</vt:lpstr>
      <vt:lpstr>Isolant fixé mécaniquement</vt:lpstr>
      <vt:lpstr>Isolant projeté</vt:lpstr>
      <vt:lpstr>Combinaison</vt:lpstr>
      <vt:lpstr>poutre isolée</vt:lpstr>
      <vt:lpstr>refend non isolé</vt:lpstr>
      <vt:lpstr>refend isolé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Sibylle BRIERE</dc:creator>
  <cp:lastModifiedBy>Julien PARC</cp:lastModifiedBy>
  <dcterms:created xsi:type="dcterms:W3CDTF">2021-01-26T09:46:30Z</dcterms:created>
  <dcterms:modified xsi:type="dcterms:W3CDTF">2021-09-01T07:49:15Z</dcterms:modified>
</cp:coreProperties>
</file>